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mc:AlternateContent xmlns:mc="http://schemas.openxmlformats.org/markup-compatibility/2006">
    <mc:Choice Requires="x15">
      <x15ac:absPath xmlns:x15ac="http://schemas.microsoft.com/office/spreadsheetml/2010/11/ac" url="https://d.docs.live.net/909559c73102cec3/Secretaria Municipal de Educação Catalão/2 - Processos em ANDAMENTO/ANIBAL ROSA/CMEI Anibal Rosa/Enviar para licitação/"/>
    </mc:Choice>
  </mc:AlternateContent>
  <xr:revisionPtr revIDLastSave="12" documentId="8_{7D4DC4A1-4FB0-42C8-9003-42CA47EA411D}" xr6:coauthVersionLast="47" xr6:coauthVersionMax="47" xr10:uidLastSave="{00344B05-8D3C-40FD-83FC-587D9988F8F7}"/>
  <bookViews>
    <workbookView xWindow="-120" yWindow="-120" windowWidth="20730" windowHeight="11160" tabRatio="507" activeTab="1" xr2:uid="{00000000-000D-0000-FFFF-FFFF00000000}"/>
  </bookViews>
  <sheets>
    <sheet name="MEMÓRIA DE CÁLCULO" sheetId="6" r:id="rId1"/>
    <sheet name="ORÇAMENTO " sheetId="5" r:id="rId2"/>
    <sheet name="CRONOGRAMA" sheetId="9" r:id="rId3"/>
  </sheets>
  <definedNames>
    <definedName name="_xlnm.Print_Area" localSheetId="2">CRONOGRAMA!$B$1:$P$38</definedName>
    <definedName name="_xlnm.Print_Area" localSheetId="0">'MEMÓRIA DE CÁLCULO'!$A$1:$I$1667</definedName>
    <definedName name="_xlnm.Print_Area" localSheetId="1">'ORÇAMENTO '!$B$1:$J$320</definedName>
    <definedName name="VALOR_TOTAL">#REF!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25" i="9" l="1"/>
  <c r="D64" i="5"/>
  <c r="D93" i="5" l="1"/>
  <c r="D42" i="5"/>
  <c r="D1659" i="6" l="1"/>
  <c r="E307" i="5" s="1"/>
  <c r="F1660" i="6"/>
  <c r="H1660" i="6" s="1"/>
  <c r="D307" i="5"/>
  <c r="D47" i="5"/>
  <c r="E48" i="5"/>
  <c r="D48" i="5"/>
  <c r="E47" i="5"/>
  <c r="E46" i="5"/>
  <c r="D46" i="5"/>
  <c r="F138" i="6"/>
  <c r="H138" i="6" s="1"/>
  <c r="F119" i="6"/>
  <c r="F135" i="6"/>
  <c r="H72" i="6"/>
  <c r="H71" i="6" s="1"/>
  <c r="G26" i="5" s="1"/>
  <c r="E26" i="5"/>
  <c r="D26" i="5"/>
  <c r="F113" i="6"/>
  <c r="F122" i="6"/>
  <c r="H122" i="6" s="1"/>
  <c r="H121" i="6" s="1"/>
  <c r="F129" i="6"/>
  <c r="H129" i="6" s="1"/>
  <c r="H127" i="6" s="1"/>
  <c r="G44" i="5" s="1"/>
  <c r="H116" i="6"/>
  <c r="H1570" i="6"/>
  <c r="H1571" i="6"/>
  <c r="H1578" i="6"/>
  <c r="H1559" i="6"/>
  <c r="H1560" i="6"/>
  <c r="H1567" i="6"/>
  <c r="H1164" i="6"/>
  <c r="H918" i="6"/>
  <c r="H936" i="6"/>
  <c r="H935" i="6" s="1"/>
  <c r="G254" i="5" s="1"/>
  <c r="H278" i="6"/>
  <c r="D14" i="5"/>
  <c r="D191" i="5"/>
  <c r="D190" i="5"/>
  <c r="E186" i="5"/>
  <c r="D186" i="5"/>
  <c r="E194" i="5"/>
  <c r="D194" i="5"/>
  <c r="E193" i="5"/>
  <c r="D193" i="5"/>
  <c r="E192" i="5"/>
  <c r="D192" i="5"/>
  <c r="E191" i="5"/>
  <c r="E190" i="5"/>
  <c r="H599" i="6"/>
  <c r="H598" i="6" s="1"/>
  <c r="D156" i="5"/>
  <c r="D150" i="5"/>
  <c r="D23" i="5"/>
  <c r="E254" i="5"/>
  <c r="D254" i="5"/>
  <c r="H681" i="6"/>
  <c r="H928" i="6"/>
  <c r="H700" i="6"/>
  <c r="H1597" i="6"/>
  <c r="H986" i="6"/>
  <c r="H985" i="6"/>
  <c r="H688" i="6"/>
  <c r="H687" i="6"/>
  <c r="H1658" i="6"/>
  <c r="H399" i="6"/>
  <c r="E253" i="5"/>
  <c r="D253" i="5"/>
  <c r="H934" i="6"/>
  <c r="H933" i="6" s="1"/>
  <c r="G253" i="5" s="1"/>
  <c r="D189" i="5"/>
  <c r="E189" i="5"/>
  <c r="E187" i="5"/>
  <c r="D187" i="5"/>
  <c r="H597" i="6"/>
  <c r="H596" i="6"/>
  <c r="E106" i="5"/>
  <c r="D106" i="5"/>
  <c r="H363" i="6"/>
  <c r="H362" i="6"/>
  <c r="G106" i="5" s="1"/>
  <c r="E172" i="5"/>
  <c r="D172" i="5"/>
  <c r="F595" i="6"/>
  <c r="H595" i="6" s="1"/>
  <c r="F594" i="6"/>
  <c r="H594" i="6" s="1"/>
  <c r="F593" i="6"/>
  <c r="H593" i="6" s="1"/>
  <c r="P27" i="9"/>
  <c r="P26" i="9"/>
  <c r="P24" i="9"/>
  <c r="P23" i="9"/>
  <c r="P22" i="9"/>
  <c r="P21" i="9"/>
  <c r="P20" i="9"/>
  <c r="P19" i="9"/>
  <c r="P18" i="9"/>
  <c r="P17" i="9"/>
  <c r="P16" i="9"/>
  <c r="P15" i="9"/>
  <c r="P14" i="9"/>
  <c r="P13" i="9"/>
  <c r="P12" i="9"/>
  <c r="P11" i="9"/>
  <c r="P10" i="9"/>
  <c r="P9" i="9"/>
  <c r="P8" i="9"/>
  <c r="F1275" i="6"/>
  <c r="F1273" i="6"/>
  <c r="H1273" i="6" s="1"/>
  <c r="H1272" i="6" s="1"/>
  <c r="G283" i="5" s="1"/>
  <c r="F1271" i="6"/>
  <c r="E272" i="5"/>
  <c r="D272" i="5"/>
  <c r="E271" i="5"/>
  <c r="D271" i="5"/>
  <c r="E270" i="5"/>
  <c r="D270" i="5"/>
  <c r="E269" i="5"/>
  <c r="D269" i="5"/>
  <c r="E268" i="5"/>
  <c r="D268" i="5"/>
  <c r="E267" i="5"/>
  <c r="D267" i="5"/>
  <c r="E266" i="5"/>
  <c r="D266" i="5"/>
  <c r="E294" i="5"/>
  <c r="D294" i="5"/>
  <c r="E293" i="5"/>
  <c r="D293" i="5"/>
  <c r="E291" i="5"/>
  <c r="D291" i="5"/>
  <c r="E292" i="5"/>
  <c r="D292" i="5"/>
  <c r="E290" i="5"/>
  <c r="D290" i="5"/>
  <c r="E289" i="5"/>
  <c r="D289" i="5"/>
  <c r="D304" i="5"/>
  <c r="E304" i="5"/>
  <c r="D305" i="5"/>
  <c r="E305" i="5"/>
  <c r="D306" i="5"/>
  <c r="E306" i="5"/>
  <c r="E298" i="5"/>
  <c r="E299" i="5"/>
  <c r="E300" i="5"/>
  <c r="E301" i="5"/>
  <c r="H817" i="6"/>
  <c r="E303" i="5"/>
  <c r="D303" i="5"/>
  <c r="E302" i="5"/>
  <c r="D302" i="5"/>
  <c r="D301" i="5"/>
  <c r="D300" i="5"/>
  <c r="D299" i="5"/>
  <c r="D298" i="5"/>
  <c r="E288" i="5"/>
  <c r="D288" i="5"/>
  <c r="E284" i="5"/>
  <c r="D284" i="5"/>
  <c r="E283" i="5"/>
  <c r="D283" i="5"/>
  <c r="E282" i="5"/>
  <c r="D282" i="5"/>
  <c r="E278" i="5"/>
  <c r="D278" i="5"/>
  <c r="E277" i="5"/>
  <c r="D277" i="5"/>
  <c r="E276" i="5"/>
  <c r="D276" i="5"/>
  <c r="E262" i="5"/>
  <c r="D262" i="5"/>
  <c r="E261" i="5"/>
  <c r="D261" i="5"/>
  <c r="E260" i="5"/>
  <c r="D260" i="5"/>
  <c r="E259" i="5"/>
  <c r="D259" i="5"/>
  <c r="E258" i="5"/>
  <c r="D258" i="5"/>
  <c r="E252" i="5"/>
  <c r="D252" i="5"/>
  <c r="E251" i="5"/>
  <c r="D251" i="5"/>
  <c r="E250" i="5"/>
  <c r="D250" i="5"/>
  <c r="E249" i="5"/>
  <c r="D249" i="5"/>
  <c r="E248" i="5"/>
  <c r="D248" i="5"/>
  <c r="E247" i="5"/>
  <c r="D247" i="5"/>
  <c r="E246" i="5"/>
  <c r="D246" i="5"/>
  <c r="E245" i="5"/>
  <c r="D245" i="5"/>
  <c r="E241" i="5"/>
  <c r="D241" i="5"/>
  <c r="E240" i="5"/>
  <c r="D240" i="5"/>
  <c r="E239" i="5"/>
  <c r="D239" i="5"/>
  <c r="G238" i="5"/>
  <c r="E238" i="5"/>
  <c r="D238" i="5"/>
  <c r="E234" i="5"/>
  <c r="D234" i="5"/>
  <c r="E233" i="5"/>
  <c r="D233" i="5"/>
  <c r="E232" i="5"/>
  <c r="D232" i="5"/>
  <c r="E231" i="5"/>
  <c r="D231" i="5"/>
  <c r="E230" i="5"/>
  <c r="D230" i="5"/>
  <c r="E226" i="5"/>
  <c r="D226" i="5"/>
  <c r="D225" i="5"/>
  <c r="E224" i="5"/>
  <c r="D224" i="5"/>
  <c r="E220" i="5"/>
  <c r="D220" i="5"/>
  <c r="E219" i="5"/>
  <c r="D219" i="5"/>
  <c r="E218" i="5"/>
  <c r="D218" i="5"/>
  <c r="E214" i="5"/>
  <c r="D214" i="5"/>
  <c r="E213" i="5"/>
  <c r="D213" i="5"/>
  <c r="E212" i="5"/>
  <c r="D212" i="5"/>
  <c r="E208" i="5"/>
  <c r="D208" i="5"/>
  <c r="E207" i="5"/>
  <c r="D207" i="5"/>
  <c r="E206" i="5"/>
  <c r="D206" i="5"/>
  <c r="E205" i="5"/>
  <c r="D205" i="5"/>
  <c r="E204" i="5"/>
  <c r="D204" i="5"/>
  <c r="E203" i="5"/>
  <c r="D203" i="5"/>
  <c r="E202" i="5"/>
  <c r="D202" i="5"/>
  <c r="E201" i="5"/>
  <c r="D201" i="5"/>
  <c r="E200" i="5"/>
  <c r="D200" i="5"/>
  <c r="E199" i="5"/>
  <c r="D199" i="5"/>
  <c r="E198" i="5"/>
  <c r="D198" i="5"/>
  <c r="E185" i="5"/>
  <c r="D185" i="5"/>
  <c r="E184" i="5"/>
  <c r="D184" i="5"/>
  <c r="E183" i="5"/>
  <c r="D183" i="5"/>
  <c r="E182" i="5"/>
  <c r="D182" i="5"/>
  <c r="E181" i="5"/>
  <c r="D181" i="5"/>
  <c r="E180" i="5"/>
  <c r="D180" i="5"/>
  <c r="E179" i="5"/>
  <c r="D179" i="5"/>
  <c r="E178" i="5"/>
  <c r="D178" i="5"/>
  <c r="E177" i="5"/>
  <c r="D177" i="5"/>
  <c r="E175" i="5"/>
  <c r="D175" i="5"/>
  <c r="E174" i="5"/>
  <c r="D174" i="5"/>
  <c r="E173" i="5"/>
  <c r="D173" i="5"/>
  <c r="E171" i="5"/>
  <c r="D171" i="5"/>
  <c r="G170" i="5"/>
  <c r="E170" i="5"/>
  <c r="D170" i="5"/>
  <c r="E169" i="5"/>
  <c r="D169" i="5"/>
  <c r="E168" i="5"/>
  <c r="D168" i="5"/>
  <c r="E167" i="5"/>
  <c r="D167" i="5"/>
  <c r="E166" i="5"/>
  <c r="D166" i="5"/>
  <c r="E165" i="5"/>
  <c r="D165" i="5"/>
  <c r="E164" i="5"/>
  <c r="D164" i="5"/>
  <c r="E163" i="5"/>
  <c r="D163" i="5"/>
  <c r="E162" i="5"/>
  <c r="D162" i="5"/>
  <c r="E161" i="5"/>
  <c r="D161" i="5"/>
  <c r="E160" i="5"/>
  <c r="D160" i="5"/>
  <c r="E159" i="5"/>
  <c r="D159" i="5"/>
  <c r="E158" i="5"/>
  <c r="D158" i="5"/>
  <c r="E157" i="5"/>
  <c r="D157" i="5"/>
  <c r="E156" i="5"/>
  <c r="E155" i="5"/>
  <c r="D155" i="5"/>
  <c r="E154" i="5"/>
  <c r="D154" i="5"/>
  <c r="E153" i="5"/>
  <c r="D153" i="5"/>
  <c r="E152" i="5"/>
  <c r="D152" i="5"/>
  <c r="E151" i="5"/>
  <c r="D151" i="5"/>
  <c r="E150" i="5"/>
  <c r="E149" i="5"/>
  <c r="D149" i="5"/>
  <c r="E147" i="5"/>
  <c r="D147" i="5"/>
  <c r="E146" i="5"/>
  <c r="D146" i="5"/>
  <c r="E145" i="5"/>
  <c r="D145" i="5"/>
  <c r="E144" i="5"/>
  <c r="D144" i="5"/>
  <c r="E143" i="5"/>
  <c r="D143" i="5"/>
  <c r="E142" i="5"/>
  <c r="D142" i="5"/>
  <c r="E141" i="5"/>
  <c r="D141" i="5"/>
  <c r="E140" i="5"/>
  <c r="D140" i="5"/>
  <c r="E139" i="5"/>
  <c r="D139" i="5"/>
  <c r="E138" i="5"/>
  <c r="D138" i="5"/>
  <c r="E137" i="5"/>
  <c r="D137" i="5"/>
  <c r="E136" i="5"/>
  <c r="D136" i="5"/>
  <c r="E135" i="5"/>
  <c r="D135" i="5"/>
  <c r="E134" i="5"/>
  <c r="D134" i="5"/>
  <c r="E133" i="5"/>
  <c r="D133" i="5"/>
  <c r="E132" i="5"/>
  <c r="D132" i="5"/>
  <c r="E131" i="5"/>
  <c r="D131" i="5"/>
  <c r="E130" i="5"/>
  <c r="D130" i="5"/>
  <c r="E129" i="5"/>
  <c r="D129" i="5"/>
  <c r="E128" i="5"/>
  <c r="D128" i="5"/>
  <c r="E127" i="5"/>
  <c r="D127" i="5"/>
  <c r="E126" i="5"/>
  <c r="D126" i="5"/>
  <c r="E125" i="5"/>
  <c r="D125" i="5"/>
  <c r="E124" i="5"/>
  <c r="D124" i="5"/>
  <c r="E123" i="5"/>
  <c r="D123" i="5"/>
  <c r="E122" i="5"/>
  <c r="D122" i="5"/>
  <c r="E121" i="5"/>
  <c r="D121" i="5"/>
  <c r="E120" i="5"/>
  <c r="D120" i="5"/>
  <c r="E119" i="5"/>
  <c r="D119" i="5"/>
  <c r="E118" i="5"/>
  <c r="D118" i="5"/>
  <c r="E117" i="5"/>
  <c r="D117" i="5"/>
  <c r="E116" i="5"/>
  <c r="D116" i="5"/>
  <c r="E115" i="5"/>
  <c r="D115" i="5"/>
  <c r="E114" i="5"/>
  <c r="D114" i="5"/>
  <c r="E113" i="5"/>
  <c r="D113" i="5"/>
  <c r="E112" i="5"/>
  <c r="D112" i="5"/>
  <c r="E111" i="5"/>
  <c r="D111" i="5"/>
  <c r="E105" i="5"/>
  <c r="D105" i="5"/>
  <c r="E104" i="5"/>
  <c r="D104" i="5"/>
  <c r="E103" i="5"/>
  <c r="D103" i="5"/>
  <c r="E102" i="5"/>
  <c r="D102" i="5"/>
  <c r="E101" i="5"/>
  <c r="D101" i="5"/>
  <c r="E100" i="5"/>
  <c r="D100" i="5"/>
  <c r="E99" i="5"/>
  <c r="D99" i="5"/>
  <c r="E98" i="5"/>
  <c r="D98" i="5"/>
  <c r="E97" i="5"/>
  <c r="D97" i="5"/>
  <c r="E96" i="5"/>
  <c r="D96" i="5"/>
  <c r="E95" i="5"/>
  <c r="D95" i="5"/>
  <c r="E94" i="5"/>
  <c r="D94" i="5"/>
  <c r="E93" i="5"/>
  <c r="E92" i="5"/>
  <c r="D92" i="5"/>
  <c r="E91" i="5"/>
  <c r="D91" i="5"/>
  <c r="E90" i="5"/>
  <c r="D90" i="5"/>
  <c r="E89" i="5"/>
  <c r="D89" i="5"/>
  <c r="E88" i="5"/>
  <c r="D88" i="5"/>
  <c r="E87" i="5"/>
  <c r="D87" i="5"/>
  <c r="E86" i="5"/>
  <c r="D86" i="5"/>
  <c r="E85" i="5"/>
  <c r="D85" i="5"/>
  <c r="E84" i="5"/>
  <c r="D84" i="5"/>
  <c r="E83" i="5"/>
  <c r="D83" i="5"/>
  <c r="E82" i="5"/>
  <c r="D82" i="5"/>
  <c r="E81" i="5"/>
  <c r="D81" i="5"/>
  <c r="E80" i="5"/>
  <c r="D80" i="5"/>
  <c r="E79" i="5"/>
  <c r="D79" i="5"/>
  <c r="E78" i="5"/>
  <c r="D78" i="5"/>
  <c r="E77" i="5"/>
  <c r="D77" i="5"/>
  <c r="E76" i="5"/>
  <c r="D76" i="5"/>
  <c r="E75" i="5"/>
  <c r="D75" i="5"/>
  <c r="E74" i="5"/>
  <c r="D74" i="5"/>
  <c r="E73" i="5"/>
  <c r="D73" i="5"/>
  <c r="E72" i="5"/>
  <c r="D72" i="5"/>
  <c r="E71" i="5"/>
  <c r="D71" i="5"/>
  <c r="E70" i="5"/>
  <c r="D70" i="5"/>
  <c r="E69" i="5"/>
  <c r="D69" i="5"/>
  <c r="E68" i="5"/>
  <c r="D68" i="5"/>
  <c r="E67" i="5"/>
  <c r="D67" i="5"/>
  <c r="E66" i="5"/>
  <c r="D66" i="5"/>
  <c r="E65" i="5"/>
  <c r="D65" i="5"/>
  <c r="E64" i="5"/>
  <c r="E63" i="5"/>
  <c r="E59" i="5"/>
  <c r="D59" i="5"/>
  <c r="E58" i="5"/>
  <c r="D58" i="5"/>
  <c r="E57" i="5"/>
  <c r="D57" i="5"/>
  <c r="E56" i="5"/>
  <c r="D56" i="5"/>
  <c r="E55" i="5"/>
  <c r="D55" i="5"/>
  <c r="E54" i="5"/>
  <c r="D54" i="5"/>
  <c r="E53" i="5"/>
  <c r="D53" i="5"/>
  <c r="E52" i="5"/>
  <c r="D52" i="5"/>
  <c r="E45" i="5"/>
  <c r="D45" i="5"/>
  <c r="E44" i="5"/>
  <c r="D44" i="5"/>
  <c r="E43" i="5"/>
  <c r="D43" i="5"/>
  <c r="E42" i="5"/>
  <c r="E41" i="5"/>
  <c r="D41" i="5"/>
  <c r="E40" i="5"/>
  <c r="D40" i="5"/>
  <c r="E39" i="5"/>
  <c r="D39" i="5"/>
  <c r="E35" i="5"/>
  <c r="D35" i="5"/>
  <c r="E34" i="5"/>
  <c r="D34" i="5"/>
  <c r="E30" i="5"/>
  <c r="D30" i="5"/>
  <c r="E25" i="5"/>
  <c r="D25" i="5"/>
  <c r="E24" i="5"/>
  <c r="D24" i="5"/>
  <c r="E23" i="5"/>
  <c r="E22" i="5"/>
  <c r="D22" i="5"/>
  <c r="E21" i="5"/>
  <c r="D21" i="5"/>
  <c r="E20" i="5"/>
  <c r="D20" i="5"/>
  <c r="E19" i="5"/>
  <c r="D19" i="5"/>
  <c r="E18" i="5"/>
  <c r="D18" i="5"/>
  <c r="E17" i="5"/>
  <c r="D17" i="5"/>
  <c r="E16" i="5"/>
  <c r="D16" i="5"/>
  <c r="E15" i="5"/>
  <c r="D15" i="5"/>
  <c r="E14" i="5"/>
  <c r="E13" i="5"/>
  <c r="D13" i="5"/>
  <c r="H426" i="6"/>
  <c r="H99" i="6"/>
  <c r="H98" i="6" s="1"/>
  <c r="H97" i="6"/>
  <c r="H96" i="6" s="1"/>
  <c r="H95" i="6"/>
  <c r="H94" i="6" s="1"/>
  <c r="H93" i="6"/>
  <c r="H92" i="6" s="1"/>
  <c r="H91" i="6"/>
  <c r="H89" i="6"/>
  <c r="H87" i="6"/>
  <c r="H85" i="6"/>
  <c r="H83" i="6"/>
  <c r="H81" i="6"/>
  <c r="H79" i="6"/>
  <c r="H77" i="6"/>
  <c r="F1613" i="6"/>
  <c r="H1613" i="6" s="1"/>
  <c r="F1612" i="6"/>
  <c r="H1612" i="6" s="1"/>
  <c r="F1599" i="6"/>
  <c r="H1599" i="6" s="1"/>
  <c r="F1606" i="6"/>
  <c r="H1606" i="6" s="1"/>
  <c r="F1605" i="6"/>
  <c r="H1605" i="6" s="1"/>
  <c r="H1600" i="6"/>
  <c r="H1601" i="6"/>
  <c r="H1602" i="6"/>
  <c r="H1603" i="6"/>
  <c r="H1604" i="6"/>
  <c r="H1607" i="6"/>
  <c r="H1608" i="6"/>
  <c r="H1609" i="6"/>
  <c r="H1610" i="6"/>
  <c r="H1611" i="6"/>
  <c r="H1614" i="6"/>
  <c r="H1593" i="6"/>
  <c r="H1592" i="6"/>
  <c r="H1398" i="6"/>
  <c r="H1265" i="6"/>
  <c r="H1264" i="6"/>
  <c r="H860" i="6"/>
  <c r="H838" i="6"/>
  <c r="H837" i="6"/>
  <c r="F836" i="6"/>
  <c r="H836" i="6" s="1"/>
  <c r="H1359" i="6"/>
  <c r="H1354" i="6"/>
  <c r="H1352" i="6"/>
  <c r="H1351" i="6"/>
  <c r="H1350" i="6"/>
  <c r="H1348" i="6"/>
  <c r="H1347" i="6"/>
  <c r="H1346" i="6"/>
  <c r="H1345" i="6"/>
  <c r="H1343" i="6"/>
  <c r="H1342" i="6"/>
  <c r="H1341" i="6"/>
  <c r="H1339" i="6"/>
  <c r="H1338" i="6"/>
  <c r="H1336" i="6"/>
  <c r="H1335" i="6"/>
  <c r="H1332" i="6"/>
  <c r="H1331" i="6"/>
  <c r="H1329" i="6"/>
  <c r="H1328" i="6"/>
  <c r="H1326" i="6"/>
  <c r="H1325" i="6"/>
  <c r="F1323" i="6"/>
  <c r="H1323" i="6" s="1"/>
  <c r="H1320" i="6"/>
  <c r="H1318" i="6"/>
  <c r="H1317" i="6"/>
  <c r="H1315" i="6"/>
  <c r="H1312" i="6"/>
  <c r="H1314" i="6"/>
  <c r="F679" i="6"/>
  <c r="H679" i="6" s="1"/>
  <c r="H678" i="6"/>
  <c r="F622" i="6"/>
  <c r="H622" i="6" s="1"/>
  <c r="H621" i="6" s="1"/>
  <c r="H624" i="6"/>
  <c r="H623" i="6" s="1"/>
  <c r="F620" i="6"/>
  <c r="H620" i="6" s="1"/>
  <c r="H619" i="6" s="1"/>
  <c r="H1504" i="6"/>
  <c r="H1503" i="6"/>
  <c r="H1495" i="6"/>
  <c r="H1501" i="6"/>
  <c r="H1502" i="6"/>
  <c r="H1505" i="6"/>
  <c r="H1506" i="6"/>
  <c r="H1507" i="6"/>
  <c r="H1508" i="6"/>
  <c r="H1510" i="6"/>
  <c r="H1515" i="6"/>
  <c r="H1516" i="6"/>
  <c r="H1517" i="6"/>
  <c r="H1518" i="6"/>
  <c r="H1519" i="6"/>
  <c r="H1520" i="6"/>
  <c r="H1521" i="6"/>
  <c r="H1522" i="6"/>
  <c r="H1525" i="6"/>
  <c r="H1526" i="6"/>
  <c r="H1527" i="6"/>
  <c r="H1529" i="6"/>
  <c r="H1530" i="6"/>
  <c r="H1531" i="6"/>
  <c r="H1532" i="6"/>
  <c r="H1533" i="6"/>
  <c r="H1534" i="6"/>
  <c r="H1535" i="6"/>
  <c r="H1536" i="6"/>
  <c r="H1500" i="6"/>
  <c r="H1494" i="6"/>
  <c r="H1490" i="6"/>
  <c r="H1486" i="6"/>
  <c r="H1485" i="6"/>
  <c r="H1483" i="6"/>
  <c r="H1482" i="6"/>
  <c r="H1480" i="6"/>
  <c r="H1478" i="6"/>
  <c r="H1476" i="6"/>
  <c r="H1473" i="6"/>
  <c r="H1469" i="6"/>
  <c r="H1466" i="6"/>
  <c r="H1464" i="6"/>
  <c r="H1463" i="6"/>
  <c r="H1461" i="6"/>
  <c r="F1467" i="6"/>
  <c r="F1538" i="6"/>
  <c r="H1538" i="6" s="1"/>
  <c r="H1457" i="6"/>
  <c r="H1458" i="6"/>
  <c r="H1455" i="6"/>
  <c r="H1452" i="6"/>
  <c r="H1449" i="6"/>
  <c r="H1446" i="6"/>
  <c r="H1443" i="6"/>
  <c r="H1440" i="6"/>
  <c r="H1439" i="6"/>
  <c r="H1437" i="6"/>
  <c r="H1436" i="6"/>
  <c r="F1433" i="6"/>
  <c r="H1433" i="6" s="1"/>
  <c r="H1430" i="6"/>
  <c r="F1431" i="6"/>
  <c r="H1431" i="6" s="1"/>
  <c r="H1429" i="6"/>
  <c r="H1426" i="6"/>
  <c r="F1420" i="6"/>
  <c r="H1420" i="6" s="1"/>
  <c r="H1423" i="6"/>
  <c r="H1422" i="6"/>
  <c r="H1419" i="6"/>
  <c r="H1182" i="6"/>
  <c r="H1181" i="6"/>
  <c r="H1178" i="6"/>
  <c r="H1172" i="6"/>
  <c r="H1161" i="6"/>
  <c r="H1160" i="6"/>
  <c r="H1157" i="6"/>
  <c r="H1158" i="6"/>
  <c r="H1163" i="6"/>
  <c r="H1445" i="6"/>
  <c r="H1177" i="6"/>
  <c r="H1176" i="6"/>
  <c r="H1175" i="6"/>
  <c r="H1174" i="6"/>
  <c r="H1173" i="6"/>
  <c r="H1171" i="6"/>
  <c r="H1170" i="6"/>
  <c r="H1169" i="6"/>
  <c r="H1168" i="6"/>
  <c r="H1167" i="6"/>
  <c r="H1166" i="6"/>
  <c r="H1179" i="6"/>
  <c r="H1382" i="6"/>
  <c r="H1372" i="6"/>
  <c r="H1143" i="6"/>
  <c r="H1144" i="6"/>
  <c r="H1145" i="6"/>
  <c r="H1146" i="6"/>
  <c r="H1147" i="6"/>
  <c r="H1148" i="6"/>
  <c r="H1149" i="6"/>
  <c r="H1150" i="6"/>
  <c r="H1151" i="6"/>
  <c r="H1152" i="6"/>
  <c r="H1153" i="6"/>
  <c r="H1154" i="6"/>
  <c r="H1155" i="6"/>
  <c r="H1156" i="6"/>
  <c r="H1142" i="6"/>
  <c r="H1159" i="6"/>
  <c r="H1162" i="6"/>
  <c r="H1209" i="6"/>
  <c r="H1409" i="6"/>
  <c r="H1407" i="6"/>
  <c r="H1392" i="6"/>
  <c r="H1397" i="6"/>
  <c r="H1395" i="6"/>
  <c r="H1393" i="6"/>
  <c r="H1390" i="6"/>
  <c r="H1387" i="6"/>
  <c r="H1389" i="6"/>
  <c r="H1386" i="6"/>
  <c r="H1384" i="6"/>
  <c r="H1380" i="6"/>
  <c r="H1377" i="6"/>
  <c r="H1375" i="6"/>
  <c r="H1370" i="6"/>
  <c r="F1367" i="6"/>
  <c r="H1367" i="6" s="1"/>
  <c r="H1009" i="6"/>
  <c r="H961" i="6"/>
  <c r="H397" i="6"/>
  <c r="H1649" i="6"/>
  <c r="H1648" i="6" s="1"/>
  <c r="H965" i="6"/>
  <c r="F252" i="6"/>
  <c r="F167" i="6"/>
  <c r="H167" i="6" s="1"/>
  <c r="H914" i="6"/>
  <c r="H684" i="6"/>
  <c r="F190" i="6"/>
  <c r="H190" i="6" s="1"/>
  <c r="F214" i="6"/>
  <c r="H214" i="6" s="1"/>
  <c r="F236" i="6"/>
  <c r="H236" i="6" s="1"/>
  <c r="H257" i="6"/>
  <c r="H799" i="6"/>
  <c r="H983" i="6"/>
  <c r="H1035" i="6"/>
  <c r="H1034" i="6"/>
  <c r="H1033" i="6"/>
  <c r="H1032" i="6"/>
  <c r="H1031" i="6"/>
  <c r="H1084" i="6"/>
  <c r="H1083" i="6"/>
  <c r="H1082" i="6"/>
  <c r="H1081" i="6"/>
  <c r="H1080" i="6"/>
  <c r="H1133" i="6"/>
  <c r="H1129" i="6"/>
  <c r="F1311" i="6"/>
  <c r="H1311" i="6" s="1"/>
  <c r="F852" i="6"/>
  <c r="H852" i="6" s="1"/>
  <c r="H840" i="6"/>
  <c r="H841" i="6"/>
  <c r="H842" i="6"/>
  <c r="H826" i="6"/>
  <c r="H818" i="6"/>
  <c r="H1226" i="6"/>
  <c r="H1659" i="6" l="1"/>
  <c r="G307" i="5" s="1"/>
  <c r="H120" i="6"/>
  <c r="G42" i="5" s="1"/>
  <c r="H984" i="6"/>
  <c r="H128" i="6"/>
  <c r="H686" i="6"/>
  <c r="H835" i="6"/>
  <c r="H1598" i="6"/>
  <c r="H137" i="6"/>
  <c r="H136" i="6"/>
  <c r="G47" i="5" s="1"/>
  <c r="H1141" i="6"/>
  <c r="H1165" i="6"/>
  <c r="G267" i="5" s="1"/>
  <c r="H1180" i="6"/>
  <c r="G268" i="5" s="1"/>
  <c r="H839" i="6"/>
  <c r="H592" i="6"/>
  <c r="G172" i="5" s="1"/>
  <c r="G187" i="5"/>
  <c r="G186" i="5"/>
  <c r="G185" i="5"/>
  <c r="G266" i="5"/>
  <c r="H618" i="6"/>
  <c r="H617" i="6" s="1"/>
  <c r="G184" i="5" s="1"/>
  <c r="H616" i="6"/>
  <c r="H615" i="6" s="1"/>
  <c r="G183" i="5" s="1"/>
  <c r="H614" i="6"/>
  <c r="H613" i="6" s="1"/>
  <c r="H612" i="6"/>
  <c r="H611" i="6" s="1"/>
  <c r="G181" i="5" l="1"/>
  <c r="G182" i="5"/>
  <c r="H1138" i="6" l="1"/>
  <c r="F1137" i="6"/>
  <c r="H1137" i="6" s="1"/>
  <c r="F1136" i="6"/>
  <c r="H1136" i="6" s="1"/>
  <c r="H932" i="6"/>
  <c r="H931" i="6"/>
  <c r="H930" i="6"/>
  <c r="H927" i="6"/>
  <c r="H926" i="6" s="1"/>
  <c r="H925" i="6"/>
  <c r="H924" i="6" s="1"/>
  <c r="G250" i="5" s="1"/>
  <c r="H929" i="6" l="1"/>
  <c r="G251" i="5"/>
  <c r="H888" i="6"/>
  <c r="H610" i="6"/>
  <c r="H609" i="6" s="1"/>
  <c r="H545" i="6"/>
  <c r="G149" i="5" s="1"/>
  <c r="G180" i="5" l="1"/>
  <c r="G252" i="5"/>
  <c r="H541" i="6"/>
  <c r="H540" i="6"/>
  <c r="H538" i="6"/>
  <c r="H537" i="6" s="1"/>
  <c r="G145" i="5" s="1"/>
  <c r="H536" i="6"/>
  <c r="H535" i="6" s="1"/>
  <c r="G144" i="5" s="1"/>
  <c r="H534" i="6"/>
  <c r="H533" i="6" s="1"/>
  <c r="G143" i="5" s="1"/>
  <c r="H532" i="6"/>
  <c r="H531" i="6" s="1"/>
  <c r="G142" i="5" s="1"/>
  <c r="H530" i="6"/>
  <c r="H529" i="6" s="1"/>
  <c r="G141" i="5" s="1"/>
  <c r="H528" i="6"/>
  <c r="H527" i="6" s="1"/>
  <c r="G140" i="5" s="1"/>
  <c r="H526" i="6"/>
  <c r="H525" i="6" s="1"/>
  <c r="H524" i="6"/>
  <c r="H523" i="6" s="1"/>
  <c r="G138" i="5" s="1"/>
  <c r="H522" i="6"/>
  <c r="H521" i="6" s="1"/>
  <c r="G137" i="5" s="1"/>
  <c r="H520" i="6"/>
  <c r="H519" i="6" s="1"/>
  <c r="H1657" i="6"/>
  <c r="H1656" i="6"/>
  <c r="H1655" i="6"/>
  <c r="H1654" i="6"/>
  <c r="H1653" i="6"/>
  <c r="F1651" i="6"/>
  <c r="H1651" i="6" s="1"/>
  <c r="H1650" i="6" s="1"/>
  <c r="G305" i="5" s="1"/>
  <c r="H1647" i="6"/>
  <c r="H1646" i="6" s="1"/>
  <c r="F1645" i="6"/>
  <c r="H1645" i="6" s="1"/>
  <c r="H1644" i="6"/>
  <c r="F1642" i="6"/>
  <c r="H1642" i="6" s="1"/>
  <c r="H1641" i="6"/>
  <c r="H1639" i="6"/>
  <c r="H1638" i="6" s="1"/>
  <c r="F1637" i="6"/>
  <c r="H1637" i="6" s="1"/>
  <c r="H1636" i="6" s="1"/>
  <c r="F1635" i="6"/>
  <c r="H1635" i="6" s="1"/>
  <c r="H1634" i="6" s="1"/>
  <c r="H1633" i="6"/>
  <c r="H1632" i="6" s="1"/>
  <c r="H1631" i="6"/>
  <c r="H1630" i="6" s="1"/>
  <c r="H1629" i="6"/>
  <c r="H1628" i="6" s="1"/>
  <c r="H1627" i="6"/>
  <c r="H1626" i="6" s="1"/>
  <c r="H1625" i="6"/>
  <c r="H1624" i="6" s="1"/>
  <c r="H1623" i="6"/>
  <c r="H1622" i="6" s="1"/>
  <c r="F1621" i="6"/>
  <c r="H1621" i="6" s="1"/>
  <c r="H1620" i="6"/>
  <c r="F1618" i="6"/>
  <c r="H1618" i="6" s="1"/>
  <c r="F1617" i="6"/>
  <c r="H1617" i="6" s="1"/>
  <c r="G303" i="5"/>
  <c r="H1596" i="6"/>
  <c r="H1595" i="6"/>
  <c r="H1591" i="6"/>
  <c r="H1590" i="6"/>
  <c r="H1589" i="6"/>
  <c r="H1587" i="6"/>
  <c r="H1586" i="6" s="1"/>
  <c r="G300" i="5" s="1"/>
  <c r="H1585" i="6"/>
  <c r="H1583" i="6"/>
  <c r="F1582" i="6"/>
  <c r="H1582" i="6" s="1"/>
  <c r="F1577" i="6"/>
  <c r="H1577" i="6" s="1"/>
  <c r="F1576" i="6"/>
  <c r="H1576" i="6" s="1"/>
  <c r="F1575" i="6"/>
  <c r="H1575" i="6" s="1"/>
  <c r="F1574" i="6"/>
  <c r="H1574" i="6" s="1"/>
  <c r="F1573" i="6"/>
  <c r="H1573" i="6" s="1"/>
  <c r="F1572" i="6"/>
  <c r="H1572" i="6" s="1"/>
  <c r="F1569" i="6"/>
  <c r="H1569" i="6" s="1"/>
  <c r="F1566" i="6"/>
  <c r="H1566" i="6" s="1"/>
  <c r="F1565" i="6"/>
  <c r="H1565" i="6" s="1"/>
  <c r="F1564" i="6"/>
  <c r="H1564" i="6" s="1"/>
  <c r="F1563" i="6"/>
  <c r="H1563" i="6" s="1"/>
  <c r="F1562" i="6"/>
  <c r="H1562" i="6" s="1"/>
  <c r="F1561" i="6"/>
  <c r="H1561" i="6" s="1"/>
  <c r="F1558" i="6"/>
  <c r="H1558" i="6" s="1"/>
  <c r="F1556" i="6"/>
  <c r="H1556" i="6" s="1"/>
  <c r="F1554" i="6"/>
  <c r="H1554" i="6" s="1"/>
  <c r="F1553" i="6"/>
  <c r="H1553" i="6" s="1"/>
  <c r="F1552" i="6"/>
  <c r="H1552" i="6" s="1"/>
  <c r="F1551" i="6"/>
  <c r="H1551" i="6" s="1"/>
  <c r="F1550" i="6"/>
  <c r="H1550" i="6" s="1"/>
  <c r="F1549" i="6"/>
  <c r="H1549" i="6" s="1"/>
  <c r="F1548" i="6"/>
  <c r="H1548" i="6" s="1"/>
  <c r="F1547" i="6"/>
  <c r="H1547" i="6" s="1"/>
  <c r="F1546" i="6"/>
  <c r="H1546" i="6" s="1"/>
  <c r="F1545" i="6"/>
  <c r="F1544" i="6" s="1"/>
  <c r="H1544" i="6" s="1"/>
  <c r="F1542" i="6"/>
  <c r="H1542" i="6" s="1"/>
  <c r="F1541" i="6"/>
  <c r="H1541" i="6" s="1"/>
  <c r="F1540" i="6"/>
  <c r="H1540" i="6" s="1"/>
  <c r="H1537" i="6"/>
  <c r="H1528" i="6"/>
  <c r="H1524" i="6"/>
  <c r="H1523" i="6"/>
  <c r="H1514" i="6"/>
  <c r="H1513" i="6"/>
  <c r="H1512" i="6"/>
  <c r="H1511" i="6"/>
  <c r="H1509" i="6"/>
  <c r="F1498" i="6"/>
  <c r="H1498" i="6" s="1"/>
  <c r="F1497" i="6"/>
  <c r="H1497" i="6" s="1"/>
  <c r="F1496" i="6"/>
  <c r="H1496" i="6" s="1"/>
  <c r="F1493" i="6"/>
  <c r="H1493" i="6" s="1"/>
  <c r="F1492" i="6"/>
  <c r="H1492" i="6" s="1"/>
  <c r="F1491" i="6"/>
  <c r="H1491" i="6" s="1"/>
  <c r="F1489" i="6"/>
  <c r="H1489" i="6" s="1"/>
  <c r="F1488" i="6"/>
  <c r="H1488" i="6" s="1"/>
  <c r="F1487" i="6"/>
  <c r="H1487" i="6" s="1"/>
  <c r="F1484" i="6"/>
  <c r="H1484" i="6" s="1"/>
  <c r="F1481" i="6"/>
  <c r="H1481" i="6" s="1"/>
  <c r="F1479" i="6"/>
  <c r="H1479" i="6" s="1"/>
  <c r="F1477" i="6"/>
  <c r="H1477" i="6" s="1"/>
  <c r="H1475" i="6"/>
  <c r="F1474" i="6"/>
  <c r="H1474" i="6" s="1"/>
  <c r="H1472" i="6"/>
  <c r="F1471" i="6"/>
  <c r="H1471" i="6" s="1"/>
  <c r="F1470" i="6"/>
  <c r="H1470" i="6" s="1"/>
  <c r="F1468" i="6"/>
  <c r="H1468" i="6" s="1"/>
  <c r="H1467" i="6"/>
  <c r="F1465" i="6"/>
  <c r="H1465" i="6" s="1"/>
  <c r="F1462" i="6"/>
  <c r="H1462" i="6" s="1"/>
  <c r="F1460" i="6"/>
  <c r="H1460" i="6" s="1"/>
  <c r="F1459" i="6"/>
  <c r="H1459" i="6" s="1"/>
  <c r="F1456" i="6"/>
  <c r="H1456" i="6" s="1"/>
  <c r="F1454" i="6"/>
  <c r="H1454" i="6" s="1"/>
  <c r="F1453" i="6"/>
  <c r="H1453" i="6" s="1"/>
  <c r="F1451" i="6"/>
  <c r="H1451" i="6" s="1"/>
  <c r="F1450" i="6"/>
  <c r="H1450" i="6" s="1"/>
  <c r="F1448" i="6"/>
  <c r="H1448" i="6" s="1"/>
  <c r="F1447" i="6"/>
  <c r="H1447" i="6" s="1"/>
  <c r="F1444" i="6"/>
  <c r="H1444" i="6" s="1"/>
  <c r="F1442" i="6"/>
  <c r="H1442" i="6" s="1"/>
  <c r="F1441" i="6"/>
  <c r="H1441" i="6" s="1"/>
  <c r="F1438" i="6"/>
  <c r="H1438" i="6" s="1"/>
  <c r="F1435" i="6"/>
  <c r="H1435" i="6" s="1"/>
  <c r="F1434" i="6"/>
  <c r="H1434" i="6" s="1"/>
  <c r="F1432" i="6"/>
  <c r="H1432" i="6" s="1"/>
  <c r="F1428" i="6"/>
  <c r="H1428" i="6" s="1"/>
  <c r="F1427" i="6"/>
  <c r="H1427" i="6" s="1"/>
  <c r="H1425" i="6"/>
  <c r="F1424" i="6"/>
  <c r="H1424" i="6" s="1"/>
  <c r="F1421" i="6"/>
  <c r="H1421" i="6" s="1"/>
  <c r="F1418" i="6"/>
  <c r="H1418" i="6" s="1"/>
  <c r="F1416" i="6"/>
  <c r="H1416" i="6" s="1"/>
  <c r="F1415" i="6"/>
  <c r="H1415" i="6" s="1"/>
  <c r="H1414" i="6"/>
  <c r="F1413" i="6"/>
  <c r="H1413" i="6" s="1"/>
  <c r="F1412" i="6"/>
  <c r="H1412" i="6" s="1"/>
  <c r="F1411" i="6"/>
  <c r="H1411" i="6" s="1"/>
  <c r="F1410" i="6"/>
  <c r="F1408" i="6"/>
  <c r="H1408" i="6" s="1"/>
  <c r="F1406" i="6"/>
  <c r="H1406" i="6" s="1"/>
  <c r="F1405" i="6"/>
  <c r="H1405" i="6" s="1"/>
  <c r="F1404" i="6"/>
  <c r="H1404" i="6" s="1"/>
  <c r="F1403" i="6"/>
  <c r="H1403" i="6" s="1"/>
  <c r="H1402" i="6"/>
  <c r="F1401" i="6"/>
  <c r="H1401" i="6" s="1"/>
  <c r="F1400" i="6"/>
  <c r="H1400" i="6" s="1"/>
  <c r="H1399" i="6"/>
  <c r="F1396" i="6"/>
  <c r="H1396" i="6" s="1"/>
  <c r="F1394" i="6"/>
  <c r="H1394" i="6" s="1"/>
  <c r="F1391" i="6"/>
  <c r="H1391" i="6" s="1"/>
  <c r="F1388" i="6"/>
  <c r="H1388" i="6" s="1"/>
  <c r="F1385" i="6"/>
  <c r="H1385" i="6" s="1"/>
  <c r="F1383" i="6"/>
  <c r="H1383" i="6" s="1"/>
  <c r="F1381" i="6"/>
  <c r="H1381" i="6" s="1"/>
  <c r="F1379" i="6"/>
  <c r="H1379" i="6" s="1"/>
  <c r="F1378" i="6"/>
  <c r="H1378" i="6" s="1"/>
  <c r="F1376" i="6"/>
  <c r="H1376" i="6" s="1"/>
  <c r="F1374" i="6"/>
  <c r="H1374" i="6" s="1"/>
  <c r="H1373" i="6"/>
  <c r="F1371" i="6"/>
  <c r="H1371" i="6" s="1"/>
  <c r="F1369" i="6"/>
  <c r="H1369" i="6" s="1"/>
  <c r="F1368" i="6"/>
  <c r="H1368" i="6" s="1"/>
  <c r="F1366" i="6"/>
  <c r="H1366" i="6" s="1"/>
  <c r="F1365" i="6"/>
  <c r="H1365" i="6" s="1"/>
  <c r="F1364" i="6"/>
  <c r="H1364" i="6" s="1"/>
  <c r="F1363" i="6"/>
  <c r="H1363" i="6" s="1"/>
  <c r="F1362" i="6"/>
  <c r="H1362" i="6" s="1"/>
  <c r="F1361" i="6"/>
  <c r="H1361" i="6" s="1"/>
  <c r="F1360" i="6"/>
  <c r="H1360" i="6" s="1"/>
  <c r="F1358" i="6"/>
  <c r="H1358" i="6" s="1"/>
  <c r="F1357" i="6"/>
  <c r="H1357" i="6" s="1"/>
  <c r="F1356" i="6"/>
  <c r="H1356" i="6" s="1"/>
  <c r="F1353" i="6"/>
  <c r="H1353" i="6" s="1"/>
  <c r="F1349" i="6"/>
  <c r="H1349" i="6" s="1"/>
  <c r="F1344" i="6"/>
  <c r="H1344" i="6" s="1"/>
  <c r="F1340" i="6"/>
  <c r="H1340" i="6" s="1"/>
  <c r="F1337" i="6"/>
  <c r="H1337" i="6" s="1"/>
  <c r="F1334" i="6"/>
  <c r="H1334" i="6" s="1"/>
  <c r="H1333" i="6"/>
  <c r="F1330" i="6"/>
  <c r="H1330" i="6" s="1"/>
  <c r="F1327" i="6"/>
  <c r="H1327" i="6" s="1"/>
  <c r="F1324" i="6"/>
  <c r="H1324" i="6" s="1"/>
  <c r="F1322" i="6"/>
  <c r="H1322" i="6" s="1"/>
  <c r="H1321" i="6"/>
  <c r="F1319" i="6"/>
  <c r="H1319" i="6" s="1"/>
  <c r="F1316" i="6"/>
  <c r="H1316" i="6" s="1"/>
  <c r="F1313" i="6"/>
  <c r="H1313" i="6" s="1"/>
  <c r="H1308" i="6"/>
  <c r="H1306" i="6"/>
  <c r="H1305" i="6" s="1"/>
  <c r="H1304" i="6"/>
  <c r="H1303" i="6" s="1"/>
  <c r="H1302" i="6"/>
  <c r="H1301" i="6" s="1"/>
  <c r="H1300" i="6"/>
  <c r="H1299" i="6" s="1"/>
  <c r="H1298" i="6"/>
  <c r="H1297" i="6" s="1"/>
  <c r="H1296" i="6"/>
  <c r="H1295" i="6" s="1"/>
  <c r="H1294" i="6"/>
  <c r="H1293" i="6" s="1"/>
  <c r="H1292" i="6"/>
  <c r="H1291" i="6" s="1"/>
  <c r="H1290" i="6"/>
  <c r="H1289" i="6" s="1"/>
  <c r="H1288" i="6"/>
  <c r="H1287" i="6" s="1"/>
  <c r="H1286" i="6"/>
  <c r="H1285" i="6" s="1"/>
  <c r="H1284" i="6"/>
  <c r="H1283" i="6" s="1"/>
  <c r="H1282" i="6"/>
  <c r="H1281" i="6" s="1"/>
  <c r="H1280" i="6"/>
  <c r="H1279" i="6" s="1"/>
  <c r="H1275" i="6"/>
  <c r="H1274" i="6" s="1"/>
  <c r="H1271" i="6"/>
  <c r="H1270" i="6" s="1"/>
  <c r="G282" i="5" s="1"/>
  <c r="H1267" i="6"/>
  <c r="H1266" i="6" s="1"/>
  <c r="G278" i="5" s="1"/>
  <c r="H1263" i="6"/>
  <c r="H1262" i="6"/>
  <c r="H1261" i="6"/>
  <c r="H1260" i="6"/>
  <c r="H1259" i="6"/>
  <c r="H1258" i="6"/>
  <c r="H1257" i="6"/>
  <c r="H1256" i="6"/>
  <c r="H1255" i="6"/>
  <c r="H1254" i="6"/>
  <c r="H1253" i="6"/>
  <c r="H1252" i="6"/>
  <c r="H1251" i="6"/>
  <c r="H1250" i="6"/>
  <c r="H1249" i="6"/>
  <c r="H1248" i="6"/>
  <c r="H1246" i="6"/>
  <c r="H1245" i="6"/>
  <c r="H1244" i="6"/>
  <c r="H1243" i="6"/>
  <c r="H1242" i="6"/>
  <c r="H1241" i="6"/>
  <c r="H1240" i="6"/>
  <c r="H1239" i="6"/>
  <c r="H1238" i="6"/>
  <c r="H1237" i="6"/>
  <c r="H1236" i="6"/>
  <c r="H1235" i="6"/>
  <c r="H1234" i="6"/>
  <c r="H1233" i="6"/>
  <c r="H1232" i="6"/>
  <c r="H1231" i="6"/>
  <c r="H1227" i="6"/>
  <c r="H1225" i="6" s="1"/>
  <c r="G272" i="5" s="1"/>
  <c r="F1224" i="6"/>
  <c r="H1224" i="6" s="1"/>
  <c r="H1223" i="6"/>
  <c r="F1221" i="6"/>
  <c r="H1221" i="6" s="1"/>
  <c r="F1220" i="6"/>
  <c r="H1220" i="6" s="1"/>
  <c r="H1219" i="6"/>
  <c r="F1218" i="6"/>
  <c r="H1218" i="6" s="1"/>
  <c r="F1217" i="6"/>
  <c r="H1217" i="6" s="1"/>
  <c r="F1216" i="6"/>
  <c r="H1216" i="6" s="1"/>
  <c r="H1215" i="6"/>
  <c r="F1214" i="6"/>
  <c r="H1214" i="6" s="1"/>
  <c r="F1213" i="6"/>
  <c r="H1213" i="6" s="1"/>
  <c r="F1212" i="6"/>
  <c r="H1212" i="6" s="1"/>
  <c r="H1211" i="6"/>
  <c r="F1210" i="6"/>
  <c r="H1210" i="6" s="1"/>
  <c r="F1208" i="6"/>
  <c r="H1208" i="6" s="1"/>
  <c r="H1206" i="6"/>
  <c r="H1205" i="6"/>
  <c r="H1203" i="6"/>
  <c r="H1202" i="6"/>
  <c r="H1201" i="6"/>
  <c r="H1199" i="6"/>
  <c r="H1198" i="6"/>
  <c r="H1197" i="6"/>
  <c r="H1196" i="6"/>
  <c r="H1195" i="6"/>
  <c r="H1193" i="6"/>
  <c r="H1192" i="6"/>
  <c r="H1191" i="6"/>
  <c r="H1190" i="6"/>
  <c r="H1189" i="6"/>
  <c r="H1188" i="6"/>
  <c r="H1187" i="6"/>
  <c r="H1186" i="6"/>
  <c r="H1185" i="6"/>
  <c r="H1184" i="6"/>
  <c r="H1135" i="6"/>
  <c r="H1132" i="6"/>
  <c r="H1131" i="6"/>
  <c r="H1130" i="6"/>
  <c r="F1128" i="6"/>
  <c r="H1128" i="6" s="1"/>
  <c r="H1127" i="6"/>
  <c r="H1126" i="6"/>
  <c r="H1125" i="6"/>
  <c r="F1124" i="6"/>
  <c r="H1124" i="6" s="1"/>
  <c r="H1123" i="6"/>
  <c r="H1122" i="6"/>
  <c r="H1121" i="6"/>
  <c r="H1120" i="6"/>
  <c r="F1119" i="6"/>
  <c r="H1119" i="6" s="1"/>
  <c r="H1118" i="6"/>
  <c r="H1117" i="6"/>
  <c r="H1116" i="6"/>
  <c r="F1115" i="6"/>
  <c r="H1115" i="6" s="1"/>
  <c r="H1114" i="6"/>
  <c r="H1113" i="6"/>
  <c r="F1112" i="6"/>
  <c r="H1112" i="6" s="1"/>
  <c r="H1111" i="6"/>
  <c r="H1110" i="6"/>
  <c r="F1109" i="6"/>
  <c r="H1109" i="6" s="1"/>
  <c r="H1108" i="6"/>
  <c r="H1107" i="6"/>
  <c r="H1106" i="6"/>
  <c r="F1105" i="6"/>
  <c r="H1105" i="6" s="1"/>
  <c r="H1104" i="6"/>
  <c r="H1103" i="6"/>
  <c r="F1102" i="6"/>
  <c r="H1102" i="6" s="1"/>
  <c r="H1101" i="6"/>
  <c r="H1100" i="6"/>
  <c r="F1099" i="6"/>
  <c r="H1099" i="6" s="1"/>
  <c r="F1098" i="6"/>
  <c r="H1098" i="6" s="1"/>
  <c r="F1097" i="6"/>
  <c r="H1097" i="6" s="1"/>
  <c r="H1096" i="6"/>
  <c r="H1095" i="6"/>
  <c r="F1094" i="6"/>
  <c r="H1094" i="6" s="1"/>
  <c r="H1093" i="6"/>
  <c r="H1092" i="6"/>
  <c r="F1091" i="6"/>
  <c r="H1091" i="6" s="1"/>
  <c r="H1090" i="6"/>
  <c r="H1089" i="6"/>
  <c r="F1088" i="6"/>
  <c r="H1088" i="6" s="1"/>
  <c r="H1087" i="6"/>
  <c r="F1086" i="6"/>
  <c r="H1086" i="6" s="1"/>
  <c r="F1079" i="6"/>
  <c r="H1079" i="6" s="1"/>
  <c r="H1078" i="6"/>
  <c r="H1077" i="6"/>
  <c r="H1076" i="6"/>
  <c r="F1075" i="6"/>
  <c r="H1075" i="6" s="1"/>
  <c r="H1074" i="6"/>
  <c r="H1073" i="6"/>
  <c r="H1072" i="6"/>
  <c r="H1071" i="6"/>
  <c r="F1070" i="6"/>
  <c r="H1070" i="6" s="1"/>
  <c r="H1069" i="6"/>
  <c r="H1068" i="6"/>
  <c r="H1067" i="6"/>
  <c r="F1066" i="6"/>
  <c r="H1066" i="6" s="1"/>
  <c r="H1065" i="6"/>
  <c r="H1064" i="6"/>
  <c r="F1063" i="6"/>
  <c r="H1063" i="6" s="1"/>
  <c r="H1062" i="6"/>
  <c r="H1061" i="6"/>
  <c r="F1060" i="6"/>
  <c r="H1060" i="6" s="1"/>
  <c r="H1059" i="6"/>
  <c r="H1058" i="6"/>
  <c r="H1057" i="6"/>
  <c r="F1056" i="6"/>
  <c r="H1056" i="6" s="1"/>
  <c r="H1055" i="6"/>
  <c r="H1054" i="6"/>
  <c r="F1053" i="6"/>
  <c r="H1053" i="6" s="1"/>
  <c r="H1052" i="6"/>
  <c r="H1051" i="6"/>
  <c r="F1050" i="6"/>
  <c r="H1050" i="6" s="1"/>
  <c r="F1049" i="6"/>
  <c r="H1049" i="6" s="1"/>
  <c r="F1048" i="6"/>
  <c r="H1048" i="6" s="1"/>
  <c r="H1047" i="6"/>
  <c r="H1046" i="6"/>
  <c r="F1045" i="6"/>
  <c r="H1045" i="6" s="1"/>
  <c r="H1044" i="6"/>
  <c r="H1043" i="6"/>
  <c r="F1042" i="6"/>
  <c r="H1042" i="6" s="1"/>
  <c r="H1041" i="6"/>
  <c r="H1040" i="6"/>
  <c r="F1039" i="6"/>
  <c r="H1039" i="6" s="1"/>
  <c r="H1038" i="6"/>
  <c r="F1037" i="6"/>
  <c r="H1037" i="6" s="1"/>
  <c r="F1030" i="6"/>
  <c r="H1030" i="6" s="1"/>
  <c r="H1029" i="6"/>
  <c r="H1028" i="6"/>
  <c r="H1027" i="6"/>
  <c r="F1026" i="6"/>
  <c r="H1026" i="6" s="1"/>
  <c r="H1025" i="6"/>
  <c r="H1024" i="6"/>
  <c r="H1023" i="6"/>
  <c r="H1022" i="6"/>
  <c r="F1021" i="6"/>
  <c r="H1021" i="6" s="1"/>
  <c r="H1020" i="6"/>
  <c r="H1019" i="6"/>
  <c r="H1018" i="6"/>
  <c r="F1017" i="6"/>
  <c r="H1017" i="6" s="1"/>
  <c r="H1016" i="6"/>
  <c r="H1015" i="6"/>
  <c r="F1014" i="6"/>
  <c r="H1014" i="6" s="1"/>
  <c r="H1013" i="6"/>
  <c r="H1012" i="6"/>
  <c r="F1011" i="6"/>
  <c r="H1011" i="6" s="1"/>
  <c r="H1010" i="6"/>
  <c r="H1008" i="6"/>
  <c r="F1007" i="6"/>
  <c r="H1007" i="6" s="1"/>
  <c r="H1006" i="6"/>
  <c r="H1005" i="6"/>
  <c r="F1004" i="6"/>
  <c r="H1004" i="6" s="1"/>
  <c r="H1003" i="6"/>
  <c r="H1002" i="6"/>
  <c r="F1001" i="6"/>
  <c r="H1001" i="6" s="1"/>
  <c r="F1000" i="6"/>
  <c r="H1000" i="6" s="1"/>
  <c r="F999" i="6"/>
  <c r="H999" i="6" s="1"/>
  <c r="H998" i="6"/>
  <c r="H997" i="6"/>
  <c r="F996" i="6"/>
  <c r="H996" i="6" s="1"/>
  <c r="H995" i="6"/>
  <c r="H994" i="6"/>
  <c r="F993" i="6"/>
  <c r="H993" i="6" s="1"/>
  <c r="H992" i="6"/>
  <c r="H991" i="6"/>
  <c r="F990" i="6"/>
  <c r="H990" i="6" s="1"/>
  <c r="H989" i="6"/>
  <c r="F988" i="6"/>
  <c r="H988" i="6" s="1"/>
  <c r="F982" i="6"/>
  <c r="H982" i="6" s="1"/>
  <c r="H981" i="6"/>
  <c r="H980" i="6"/>
  <c r="H979" i="6"/>
  <c r="F978" i="6"/>
  <c r="H978" i="6" s="1"/>
  <c r="H977" i="6"/>
  <c r="H976" i="6"/>
  <c r="H975" i="6"/>
  <c r="H974" i="6"/>
  <c r="F973" i="6"/>
  <c r="H973" i="6" s="1"/>
  <c r="H972" i="6"/>
  <c r="H971" i="6"/>
  <c r="H970" i="6"/>
  <c r="F969" i="6"/>
  <c r="H969" i="6" s="1"/>
  <c r="H968" i="6"/>
  <c r="H967" i="6"/>
  <c r="F966" i="6"/>
  <c r="H966" i="6" s="1"/>
  <c r="H964" i="6"/>
  <c r="F963" i="6"/>
  <c r="H963" i="6" s="1"/>
  <c r="H962" i="6"/>
  <c r="H960" i="6"/>
  <c r="F959" i="6"/>
  <c r="H959" i="6" s="1"/>
  <c r="H958" i="6"/>
  <c r="H957" i="6"/>
  <c r="F956" i="6"/>
  <c r="H956" i="6" s="1"/>
  <c r="H955" i="6"/>
  <c r="H954" i="6"/>
  <c r="F953" i="6"/>
  <c r="H953" i="6" s="1"/>
  <c r="F952" i="6"/>
  <c r="H952" i="6" s="1"/>
  <c r="F951" i="6"/>
  <c r="H951" i="6" s="1"/>
  <c r="H950" i="6"/>
  <c r="H949" i="6"/>
  <c r="F948" i="6"/>
  <c r="H948" i="6" s="1"/>
  <c r="H947" i="6"/>
  <c r="H946" i="6"/>
  <c r="F945" i="6"/>
  <c r="H945" i="6" s="1"/>
  <c r="H944" i="6"/>
  <c r="H943" i="6"/>
  <c r="F942" i="6"/>
  <c r="H942" i="6" s="1"/>
  <c r="H941" i="6"/>
  <c r="F940" i="6"/>
  <c r="H940" i="6" s="1"/>
  <c r="H923" i="6"/>
  <c r="H922" i="6"/>
  <c r="H921" i="6"/>
  <c r="H920" i="6"/>
  <c r="H917" i="6"/>
  <c r="H916" i="6"/>
  <c r="H913" i="6"/>
  <c r="G247" i="5" s="1"/>
  <c r="H912" i="6"/>
  <c r="H911" i="6" s="1"/>
  <c r="H910" i="6"/>
  <c r="H909" i="6" s="1"/>
  <c r="H907" i="6"/>
  <c r="H906" i="6" s="1"/>
  <c r="H905" i="6"/>
  <c r="H904" i="6" s="1"/>
  <c r="H903" i="6"/>
  <c r="H902" i="6"/>
  <c r="H900" i="6"/>
  <c r="H899" i="6" s="1"/>
  <c r="H898" i="6"/>
  <c r="H897" i="6" s="1"/>
  <c r="H896" i="6"/>
  <c r="H894" i="6"/>
  <c r="H893" i="6" s="1"/>
  <c r="H892" i="6"/>
  <c r="H891" i="6"/>
  <c r="H889" i="6"/>
  <c r="H887" i="6" s="1"/>
  <c r="H886" i="6"/>
  <c r="H885" i="6" s="1"/>
  <c r="H884" i="6"/>
  <c r="H883" i="6" s="1"/>
  <c r="H882" i="6"/>
  <c r="H881" i="6" s="1"/>
  <c r="H877" i="6"/>
  <c r="H876" i="6"/>
  <c r="H874" i="6"/>
  <c r="H873" i="6"/>
  <c r="H872" i="6"/>
  <c r="H871" i="6"/>
  <c r="H870" i="6"/>
  <c r="H868" i="6"/>
  <c r="H867" i="6"/>
  <c r="H859" i="6"/>
  <c r="G234" i="5" s="1"/>
  <c r="H858" i="6"/>
  <c r="F857" i="6"/>
  <c r="H857" i="6" s="1"/>
  <c r="F856" i="6"/>
  <c r="H856" i="6" s="1"/>
  <c r="F855" i="6"/>
  <c r="H855" i="6" s="1"/>
  <c r="F854" i="6"/>
  <c r="H854" i="6" s="1"/>
  <c r="H851" i="6"/>
  <c r="H850" i="6"/>
  <c r="H849" i="6"/>
  <c r="H848" i="6"/>
  <c r="H847" i="6"/>
  <c r="H846" i="6"/>
  <c r="H845" i="6"/>
  <c r="H844" i="6"/>
  <c r="G231" i="5"/>
  <c r="G230" i="5"/>
  <c r="H832" i="6"/>
  <c r="H831" i="6"/>
  <c r="H830" i="6"/>
  <c r="H828" i="6"/>
  <c r="H827" i="6"/>
  <c r="H824" i="6"/>
  <c r="H823" i="6"/>
  <c r="F822" i="6"/>
  <c r="H822" i="6" s="1"/>
  <c r="F816" i="6"/>
  <c r="H816" i="6" s="1"/>
  <c r="F815" i="6"/>
  <c r="H815" i="6" s="1"/>
  <c r="F814" i="6"/>
  <c r="H814" i="6" s="1"/>
  <c r="F813" i="6"/>
  <c r="H813" i="6" s="1"/>
  <c r="F812" i="6"/>
  <c r="H812" i="6" s="1"/>
  <c r="F811" i="6"/>
  <c r="H811" i="6" s="1"/>
  <c r="F810" i="6"/>
  <c r="H810" i="6" s="1"/>
  <c r="F809" i="6"/>
  <c r="H809" i="6" s="1"/>
  <c r="F808" i="6"/>
  <c r="H808" i="6" s="1"/>
  <c r="F807" i="6"/>
  <c r="H807" i="6" s="1"/>
  <c r="F806" i="6"/>
  <c r="H806" i="6" s="1"/>
  <c r="H805" i="6"/>
  <c r="F804" i="6"/>
  <c r="H804" i="6" s="1"/>
  <c r="F803" i="6"/>
  <c r="H803" i="6" s="1"/>
  <c r="F802" i="6"/>
  <c r="H802" i="6" s="1"/>
  <c r="F801" i="6"/>
  <c r="H801" i="6" s="1"/>
  <c r="H798" i="6"/>
  <c r="H797" i="6"/>
  <c r="H796" i="6"/>
  <c r="H795" i="6"/>
  <c r="H794" i="6"/>
  <c r="H793" i="6"/>
  <c r="H792" i="6"/>
  <c r="H791" i="6"/>
  <c r="H790" i="6"/>
  <c r="H789" i="6"/>
  <c r="H788" i="6"/>
  <c r="H786" i="6"/>
  <c r="H785" i="6" s="1"/>
  <c r="H784" i="6"/>
  <c r="H783" i="6" s="1"/>
  <c r="H782" i="6"/>
  <c r="H781" i="6" s="1"/>
  <c r="H780" i="6"/>
  <c r="H779" i="6" s="1"/>
  <c r="H778" i="6"/>
  <c r="H777" i="6" s="1"/>
  <c r="H776" i="6"/>
  <c r="H775" i="6" s="1"/>
  <c r="H774" i="6"/>
  <c r="H773" i="6" s="1"/>
  <c r="H772" i="6"/>
  <c r="H771" i="6" s="1"/>
  <c r="H770" i="6"/>
  <c r="H769" i="6" s="1"/>
  <c r="H768" i="6"/>
  <c r="H767" i="6" s="1"/>
  <c r="H766" i="6"/>
  <c r="H765" i="6" s="1"/>
  <c r="H764" i="6"/>
  <c r="H763" i="6" s="1"/>
  <c r="H762" i="6"/>
  <c r="H761" i="6" s="1"/>
  <c r="H759" i="6"/>
  <c r="F758" i="6"/>
  <c r="H758" i="6" s="1"/>
  <c r="H756" i="6"/>
  <c r="F755" i="6"/>
  <c r="H755" i="6" s="1"/>
  <c r="H753" i="6"/>
  <c r="F752" i="6"/>
  <c r="H752" i="6" s="1"/>
  <c r="H750" i="6"/>
  <c r="F749" i="6"/>
  <c r="H749" i="6" s="1"/>
  <c r="H747" i="6"/>
  <c r="F746" i="6"/>
  <c r="H746" i="6" s="1"/>
  <c r="H744" i="6"/>
  <c r="F743" i="6"/>
  <c r="H743" i="6" s="1"/>
  <c r="H741" i="6"/>
  <c r="F740" i="6"/>
  <c r="H740" i="6" s="1"/>
  <c r="H738" i="6"/>
  <c r="F737" i="6"/>
  <c r="H737" i="6" s="1"/>
  <c r="G735" i="6"/>
  <c r="F735" i="6"/>
  <c r="H733" i="6"/>
  <c r="H732" i="6" s="1"/>
  <c r="H731" i="6"/>
  <c r="H730" i="6" s="1"/>
  <c r="H729" i="6"/>
  <c r="H728" i="6" s="1"/>
  <c r="H727" i="6"/>
  <c r="H726" i="6" s="1"/>
  <c r="H725" i="6"/>
  <c r="H724" i="6" s="1"/>
  <c r="H723" i="6"/>
  <c r="H722" i="6" s="1"/>
  <c r="H721" i="6"/>
  <c r="H720" i="6" s="1"/>
  <c r="H719" i="6"/>
  <c r="H718" i="6" s="1"/>
  <c r="H717" i="6"/>
  <c r="H716" i="6" s="1"/>
  <c r="H715" i="6"/>
  <c r="H714" i="6" s="1"/>
  <c r="H713" i="6"/>
  <c r="H712" i="6" s="1"/>
  <c r="H711" i="6"/>
  <c r="H710" i="6" s="1"/>
  <c r="H709" i="6"/>
  <c r="H708" i="6" s="1"/>
  <c r="H707" i="6"/>
  <c r="H706" i="6" s="1"/>
  <c r="H705" i="6"/>
  <c r="H704" i="6" s="1"/>
  <c r="H699" i="6"/>
  <c r="H698" i="6" s="1"/>
  <c r="F697" i="6"/>
  <c r="H697" i="6" s="1"/>
  <c r="F696" i="6"/>
  <c r="H696" i="6" s="1"/>
  <c r="F695" i="6"/>
  <c r="H695" i="6" s="1"/>
  <c r="F693" i="6"/>
  <c r="H693" i="6" s="1"/>
  <c r="F692" i="6"/>
  <c r="H692" i="6" s="1"/>
  <c r="F691" i="6"/>
  <c r="H691" i="6" s="1"/>
  <c r="H685" i="6"/>
  <c r="F683" i="6"/>
  <c r="H683" i="6" s="1"/>
  <c r="F680" i="6"/>
  <c r="H680" i="6" s="1"/>
  <c r="F677" i="6"/>
  <c r="H677" i="6" s="1"/>
  <c r="F676" i="6"/>
  <c r="H676" i="6" s="1"/>
  <c r="F675" i="6"/>
  <c r="H675" i="6" s="1"/>
  <c r="F674" i="6"/>
  <c r="H674" i="6" s="1"/>
  <c r="F673" i="6"/>
  <c r="H673" i="6" s="1"/>
  <c r="F672" i="6"/>
  <c r="H672" i="6" s="1"/>
  <c r="F671" i="6"/>
  <c r="H671" i="6" s="1"/>
  <c r="F670" i="6"/>
  <c r="H670" i="6" s="1"/>
  <c r="H669" i="6"/>
  <c r="F668" i="6"/>
  <c r="H668" i="6" s="1"/>
  <c r="F667" i="6"/>
  <c r="H667" i="6" s="1"/>
  <c r="F666" i="6"/>
  <c r="H666" i="6" s="1"/>
  <c r="F665" i="6"/>
  <c r="H665" i="6" s="1"/>
  <c r="H661" i="6"/>
  <c r="H660" i="6" s="1"/>
  <c r="G208" i="5" s="1"/>
  <c r="H659" i="6"/>
  <c r="H658" i="6" s="1"/>
  <c r="G207" i="5" s="1"/>
  <c r="H657" i="6"/>
  <c r="H656" i="6" s="1"/>
  <c r="G206" i="5" s="1"/>
  <c r="H655" i="6"/>
  <c r="H654" i="6" s="1"/>
  <c r="G205" i="5" s="1"/>
  <c r="H653" i="6"/>
  <c r="H652" i="6" s="1"/>
  <c r="G204" i="5" s="1"/>
  <c r="H651" i="6"/>
  <c r="H650" i="6" s="1"/>
  <c r="G203" i="5" s="1"/>
  <c r="H649" i="6"/>
  <c r="H648" i="6" s="1"/>
  <c r="G202" i="5" s="1"/>
  <c r="H647" i="6"/>
  <c r="H646" i="6" s="1"/>
  <c r="G201" i="5" s="1"/>
  <c r="H645" i="6"/>
  <c r="H644" i="6" s="1"/>
  <c r="G200" i="5" s="1"/>
  <c r="H643" i="6"/>
  <c r="H642" i="6" s="1"/>
  <c r="G199" i="5" s="1"/>
  <c r="H641" i="6"/>
  <c r="H640" i="6" s="1"/>
  <c r="G198" i="5" s="1"/>
  <c r="H637" i="6"/>
  <c r="H636" i="6" s="1"/>
  <c r="G194" i="5" s="1"/>
  <c r="H635" i="6"/>
  <c r="H634" i="6" s="1"/>
  <c r="G193" i="5" s="1"/>
  <c r="H633" i="6"/>
  <c r="H632" i="6" s="1"/>
  <c r="G192" i="5" s="1"/>
  <c r="H631" i="6"/>
  <c r="H630" i="6" s="1"/>
  <c r="G191" i="5" s="1"/>
  <c r="H629" i="6"/>
  <c r="H628" i="6" s="1"/>
  <c r="G190" i="5" s="1"/>
  <c r="H627" i="6"/>
  <c r="H626" i="6" s="1"/>
  <c r="G189" i="5" s="1"/>
  <c r="H608" i="6"/>
  <c r="H607" i="6" s="1"/>
  <c r="H606" i="6"/>
  <c r="H605" i="6" s="1"/>
  <c r="H604" i="6"/>
  <c r="H603" i="6" s="1"/>
  <c r="G174" i="5" s="1"/>
  <c r="H601" i="6"/>
  <c r="H600" i="6" s="1"/>
  <c r="H591" i="6"/>
  <c r="H590" i="6" s="1"/>
  <c r="G171" i="5" s="1"/>
  <c r="H587" i="6"/>
  <c r="H586" i="6"/>
  <c r="H584" i="6"/>
  <c r="H583" i="6" s="1"/>
  <c r="G168" i="5" s="1"/>
  <c r="H582" i="6"/>
  <c r="H581" i="6" s="1"/>
  <c r="G167" i="5" s="1"/>
  <c r="H580" i="6"/>
  <c r="H579" i="6" s="1"/>
  <c r="G166" i="5" s="1"/>
  <c r="H578" i="6"/>
  <c r="H577" i="6" s="1"/>
  <c r="G165" i="5" s="1"/>
  <c r="H576" i="6"/>
  <c r="H575" i="6" s="1"/>
  <c r="G164" i="5" s="1"/>
  <c r="H574" i="6"/>
  <c r="H572" i="6"/>
  <c r="H571" i="6" s="1"/>
  <c r="G162" i="5" s="1"/>
  <c r="H570" i="6"/>
  <c r="H569" i="6" s="1"/>
  <c r="G161" i="5" s="1"/>
  <c r="H568" i="6"/>
  <c r="H567" i="6" s="1"/>
  <c r="G160" i="5" s="1"/>
  <c r="H566" i="6"/>
  <c r="H565" i="6" s="1"/>
  <c r="G159" i="5" s="1"/>
  <c r="H564" i="6"/>
  <c r="H563" i="6" s="1"/>
  <c r="G158" i="5" s="1"/>
  <c r="H562" i="6"/>
  <c r="H561" i="6" s="1"/>
  <c r="G157" i="5" s="1"/>
  <c r="F560" i="6"/>
  <c r="H560" i="6" s="1"/>
  <c r="H559" i="6" s="1"/>
  <c r="G156" i="5" s="1"/>
  <c r="H558" i="6"/>
  <c r="H557" i="6" s="1"/>
  <c r="G155" i="5" s="1"/>
  <c r="H556" i="6"/>
  <c r="H555" i="6" s="1"/>
  <c r="G154" i="5" s="1"/>
  <c r="H554" i="6"/>
  <c r="H553" i="6" s="1"/>
  <c r="G153" i="5" s="1"/>
  <c r="H552" i="6"/>
  <c r="H551" i="6" s="1"/>
  <c r="G152" i="5" s="1"/>
  <c r="H550" i="6"/>
  <c r="H549" i="6" s="1"/>
  <c r="G151" i="5" s="1"/>
  <c r="H548" i="6"/>
  <c r="H542" i="6"/>
  <c r="G147" i="5" s="1"/>
  <c r="H518" i="6"/>
  <c r="H517" i="6"/>
  <c r="H516" i="6"/>
  <c r="H515" i="6"/>
  <c r="H513" i="6"/>
  <c r="H512" i="6"/>
  <c r="H511" i="6"/>
  <c r="H510" i="6"/>
  <c r="H509" i="6"/>
  <c r="H508" i="6"/>
  <c r="H507" i="6"/>
  <c r="H506" i="6"/>
  <c r="H505" i="6"/>
  <c r="H504" i="6"/>
  <c r="H503" i="6"/>
  <c r="H502" i="6"/>
  <c r="H501" i="6"/>
  <c r="H500" i="6"/>
  <c r="H498" i="6"/>
  <c r="H496" i="6"/>
  <c r="H495" i="6" s="1"/>
  <c r="G132" i="5" s="1"/>
  <c r="H494" i="6"/>
  <c r="H493" i="6" s="1"/>
  <c r="G131" i="5" s="1"/>
  <c r="H492" i="6"/>
  <c r="H491" i="6"/>
  <c r="H490" i="6"/>
  <c r="H489" i="6"/>
  <c r="H488" i="6"/>
  <c r="H486" i="6"/>
  <c r="H485" i="6"/>
  <c r="H484" i="6"/>
  <c r="H483" i="6"/>
  <c r="H482" i="6"/>
  <c r="H480" i="6"/>
  <c r="H479" i="6"/>
  <c r="H478" i="6"/>
  <c r="H477" i="6"/>
  <c r="H476" i="6"/>
  <c r="H475" i="6"/>
  <c r="H474" i="6"/>
  <c r="H473" i="6"/>
  <c r="H471" i="6"/>
  <c r="H470" i="6" s="1"/>
  <c r="G127" i="5" s="1"/>
  <c r="H469" i="6"/>
  <c r="H468" i="6" s="1"/>
  <c r="G126" i="5" s="1"/>
  <c r="H467" i="6"/>
  <c r="H466" i="6" s="1"/>
  <c r="G125" i="5" s="1"/>
  <c r="H465" i="6"/>
  <c r="H464" i="6" s="1"/>
  <c r="G124" i="5" s="1"/>
  <c r="H463" i="6"/>
  <c r="H462" i="6"/>
  <c r="H461" i="6"/>
  <c r="H460" i="6"/>
  <c r="H459" i="6"/>
  <c r="H458" i="6"/>
  <c r="H457" i="6"/>
  <c r="H455" i="6"/>
  <c r="H454" i="6"/>
  <c r="H453" i="6"/>
  <c r="H452" i="6"/>
  <c r="H451" i="6"/>
  <c r="H450" i="6"/>
  <c r="H449" i="6"/>
  <c r="H448" i="6"/>
  <c r="H447" i="6"/>
  <c r="H446" i="6"/>
  <c r="H445" i="6"/>
  <c r="H444" i="6"/>
  <c r="H443" i="6"/>
  <c r="H441" i="6"/>
  <c r="H440" i="6"/>
  <c r="H439" i="6"/>
  <c r="H438" i="6"/>
  <c r="H437" i="6"/>
  <c r="H436" i="6"/>
  <c r="H434" i="6"/>
  <c r="H433" i="6"/>
  <c r="H432" i="6"/>
  <c r="H431" i="6"/>
  <c r="H430" i="6"/>
  <c r="H429" i="6"/>
  <c r="H428" i="6"/>
  <c r="H425" i="6"/>
  <c r="H424" i="6"/>
  <c r="H423" i="6"/>
  <c r="H422" i="6"/>
  <c r="H421" i="6"/>
  <c r="H420" i="6"/>
  <c r="H419" i="6"/>
  <c r="H417" i="6"/>
  <c r="H416" i="6"/>
  <c r="H415" i="6"/>
  <c r="H414" i="6"/>
  <c r="H413" i="6"/>
  <c r="H411" i="6"/>
  <c r="H410" i="6"/>
  <c r="H409" i="6"/>
  <c r="H408" i="6"/>
  <c r="H407" i="6"/>
  <c r="H406" i="6"/>
  <c r="H405" i="6"/>
  <c r="H404" i="6"/>
  <c r="H403" i="6"/>
  <c r="H402" i="6"/>
  <c r="H401" i="6"/>
  <c r="H400" i="6"/>
  <c r="H396" i="6"/>
  <c r="H395" i="6"/>
  <c r="H394" i="6"/>
  <c r="H393" i="6"/>
  <c r="H392" i="6"/>
  <c r="H391" i="6"/>
  <c r="H390" i="6"/>
  <c r="H388" i="6"/>
  <c r="H387" i="6"/>
  <c r="H386" i="6"/>
  <c r="H385" i="6"/>
  <c r="H384" i="6"/>
  <c r="H383" i="6"/>
  <c r="H381" i="6"/>
  <c r="H380" i="6"/>
  <c r="H379" i="6"/>
  <c r="H378" i="6"/>
  <c r="H376" i="6"/>
  <c r="H375" i="6"/>
  <c r="H374" i="6"/>
  <c r="H373" i="6"/>
  <c r="H371" i="6"/>
  <c r="H370" i="6"/>
  <c r="H368" i="6"/>
  <c r="H367" i="6"/>
  <c r="H361" i="6"/>
  <c r="H360" i="6" s="1"/>
  <c r="G105" i="5" s="1"/>
  <c r="H359" i="6"/>
  <c r="H358" i="6" s="1"/>
  <c r="G104" i="5" s="1"/>
  <c r="H357" i="6"/>
  <c r="H356" i="6" s="1"/>
  <c r="G103" i="5" s="1"/>
  <c r="H355" i="6"/>
  <c r="H354" i="6" s="1"/>
  <c r="G102" i="5" s="1"/>
  <c r="H353" i="6"/>
  <c r="H352" i="6" s="1"/>
  <c r="G101" i="5" s="1"/>
  <c r="H351" i="6"/>
  <c r="H350" i="6" s="1"/>
  <c r="G100" i="5" s="1"/>
  <c r="H349" i="6"/>
  <c r="H348" i="6" s="1"/>
  <c r="G99" i="5" s="1"/>
  <c r="H347" i="6"/>
  <c r="H346" i="6" s="1"/>
  <c r="G98" i="5" s="1"/>
  <c r="H345" i="6"/>
  <c r="H344" i="6" s="1"/>
  <c r="G97" i="5" s="1"/>
  <c r="H343" i="6"/>
  <c r="H342" i="6" s="1"/>
  <c r="G96" i="5" s="1"/>
  <c r="H341" i="6"/>
  <c r="H340" i="6" s="1"/>
  <c r="G95" i="5" s="1"/>
  <c r="H339" i="6"/>
  <c r="H338" i="6" s="1"/>
  <c r="G94" i="5" s="1"/>
  <c r="H337" i="6"/>
  <c r="H336" i="6" s="1"/>
  <c r="G93" i="5" s="1"/>
  <c r="H335" i="6"/>
  <c r="H334" i="6" s="1"/>
  <c r="G92" i="5" s="1"/>
  <c r="H333" i="6"/>
  <c r="H332" i="6" s="1"/>
  <c r="G91" i="5" s="1"/>
  <c r="H331" i="6"/>
  <c r="H330" i="6" s="1"/>
  <c r="G90" i="5" s="1"/>
  <c r="H329" i="6"/>
  <c r="H328" i="6" s="1"/>
  <c r="G89" i="5" s="1"/>
  <c r="H327" i="6"/>
  <c r="H326" i="6" s="1"/>
  <c r="G88" i="5" s="1"/>
  <c r="H325" i="6"/>
  <c r="H324" i="6" s="1"/>
  <c r="G87" i="5" s="1"/>
  <c r="H323" i="6"/>
  <c r="H322" i="6" s="1"/>
  <c r="H321" i="6"/>
  <c r="H320" i="6" s="1"/>
  <c r="G85" i="5" s="1"/>
  <c r="H319" i="6"/>
  <c r="H318" i="6" s="1"/>
  <c r="G84" i="5" s="1"/>
  <c r="H317" i="6"/>
  <c r="H316" i="6" s="1"/>
  <c r="G83" i="5" s="1"/>
  <c r="H315" i="6"/>
  <c r="H314" i="6" s="1"/>
  <c r="G82" i="5" s="1"/>
  <c r="H313" i="6"/>
  <c r="H312" i="6" s="1"/>
  <c r="G81" i="5" s="1"/>
  <c r="H311" i="6"/>
  <c r="H310" i="6" s="1"/>
  <c r="G80" i="5" s="1"/>
  <c r="H309" i="6"/>
  <c r="H308" i="6" s="1"/>
  <c r="G79" i="5" s="1"/>
  <c r="H307" i="6"/>
  <c r="H306" i="6" s="1"/>
  <c r="G78" i="5" s="1"/>
  <c r="H305" i="6"/>
  <c r="H304" i="6" s="1"/>
  <c r="G77" i="5" s="1"/>
  <c r="H303" i="6"/>
  <c r="H302" i="6" s="1"/>
  <c r="G76" i="5" s="1"/>
  <c r="H301" i="6"/>
  <c r="H300" i="6" s="1"/>
  <c r="G75" i="5" s="1"/>
  <c r="H299" i="6"/>
  <c r="H298" i="6" s="1"/>
  <c r="G74" i="5" s="1"/>
  <c r="H297" i="6"/>
  <c r="H295" i="6"/>
  <c r="H294" i="6" s="1"/>
  <c r="G72" i="5" s="1"/>
  <c r="H293" i="6"/>
  <c r="H292" i="6" s="1"/>
  <c r="G71" i="5" s="1"/>
  <c r="H291" i="6"/>
  <c r="H289" i="6"/>
  <c r="H287" i="6"/>
  <c r="H285" i="6"/>
  <c r="H283" i="6"/>
  <c r="H282" i="6" s="1"/>
  <c r="G66" i="5" s="1"/>
  <c r="H281" i="6"/>
  <c r="H280" i="6" s="1"/>
  <c r="G65" i="5" s="1"/>
  <c r="G64" i="5"/>
  <c r="H277" i="6"/>
  <c r="H273" i="6"/>
  <c r="H272" i="6"/>
  <c r="H271" i="6"/>
  <c r="H270" i="6"/>
  <c r="H269" i="6"/>
  <c r="H268" i="6"/>
  <c r="H267" i="6"/>
  <c r="H266" i="6"/>
  <c r="H265" i="6"/>
  <c r="H264" i="6"/>
  <c r="H263" i="6"/>
  <c r="H262" i="6"/>
  <c r="H261" i="6"/>
  <c r="F259" i="6"/>
  <c r="H259" i="6" s="1"/>
  <c r="F258" i="6"/>
  <c r="H258" i="6" s="1"/>
  <c r="F256" i="6"/>
  <c r="H256" i="6" s="1"/>
  <c r="F255" i="6"/>
  <c r="H255" i="6" s="1"/>
  <c r="F254" i="6"/>
  <c r="H254" i="6" s="1"/>
  <c r="F253" i="6"/>
  <c r="H253" i="6" s="1"/>
  <c r="H252" i="6"/>
  <c r="F251" i="6"/>
  <c r="H251" i="6" s="1"/>
  <c r="F250" i="6"/>
  <c r="H250" i="6" s="1"/>
  <c r="F249" i="6"/>
  <c r="H249" i="6" s="1"/>
  <c r="F248" i="6"/>
  <c r="H248" i="6" s="1"/>
  <c r="F247" i="6"/>
  <c r="H247" i="6" s="1"/>
  <c r="H246" i="6"/>
  <c r="H245" i="6"/>
  <c r="H244" i="6"/>
  <c r="G242" i="6"/>
  <c r="F242" i="6"/>
  <c r="G241" i="6"/>
  <c r="F241" i="6"/>
  <c r="G240" i="6"/>
  <c r="F240" i="6"/>
  <c r="G239" i="6"/>
  <c r="F239" i="6"/>
  <c r="G238" i="6"/>
  <c r="F238" i="6"/>
  <c r="G237" i="6"/>
  <c r="F237" i="6"/>
  <c r="G235" i="6"/>
  <c r="F235" i="6"/>
  <c r="G234" i="6"/>
  <c r="F234" i="6"/>
  <c r="G233" i="6"/>
  <c r="F233" i="6"/>
  <c r="G232" i="6"/>
  <c r="F232" i="6"/>
  <c r="G231" i="6"/>
  <c r="F231" i="6"/>
  <c r="G230" i="6"/>
  <c r="F230" i="6"/>
  <c r="G229" i="6"/>
  <c r="F229" i="6"/>
  <c r="G228" i="6"/>
  <c r="F228" i="6"/>
  <c r="G227" i="6"/>
  <c r="F227" i="6"/>
  <c r="G226" i="6"/>
  <c r="F226" i="6"/>
  <c r="G225" i="6"/>
  <c r="F225" i="6"/>
  <c r="G224" i="6"/>
  <c r="F224" i="6"/>
  <c r="G223" i="6"/>
  <c r="F223" i="6"/>
  <c r="G222" i="6"/>
  <c r="F222" i="6"/>
  <c r="G220" i="6"/>
  <c r="F220" i="6"/>
  <c r="G219" i="6"/>
  <c r="F219" i="6"/>
  <c r="G218" i="6"/>
  <c r="F218" i="6"/>
  <c r="G217" i="6"/>
  <c r="F217" i="6"/>
  <c r="G216" i="6"/>
  <c r="F216" i="6"/>
  <c r="G215" i="6"/>
  <c r="F215" i="6"/>
  <c r="G213" i="6"/>
  <c r="F213" i="6"/>
  <c r="G212" i="6"/>
  <c r="F212" i="6"/>
  <c r="G211" i="6"/>
  <c r="F211" i="6"/>
  <c r="G210" i="6"/>
  <c r="F210" i="6"/>
  <c r="G209" i="6"/>
  <c r="F209" i="6"/>
  <c r="G208" i="6"/>
  <c r="F208" i="6"/>
  <c r="G207" i="6"/>
  <c r="F207" i="6"/>
  <c r="G206" i="6"/>
  <c r="F206" i="6"/>
  <c r="G205" i="6"/>
  <c r="F205" i="6"/>
  <c r="G204" i="6"/>
  <c r="F204" i="6"/>
  <c r="G203" i="6"/>
  <c r="F203" i="6"/>
  <c r="G202" i="6"/>
  <c r="F202" i="6"/>
  <c r="G201" i="6"/>
  <c r="F201" i="6"/>
  <c r="G200" i="6"/>
  <c r="F200" i="6"/>
  <c r="H198" i="6"/>
  <c r="H197" i="6"/>
  <c r="H196" i="6"/>
  <c r="H195" i="6"/>
  <c r="H194" i="6"/>
  <c r="H193" i="6"/>
  <c r="H192" i="6"/>
  <c r="H191" i="6"/>
  <c r="H189" i="6"/>
  <c r="H188" i="6"/>
  <c r="H187" i="6"/>
  <c r="H186" i="6"/>
  <c r="H185" i="6"/>
  <c r="H184" i="6"/>
  <c r="H183" i="6"/>
  <c r="H182" i="6"/>
  <c r="H181" i="6"/>
  <c r="H180" i="6"/>
  <c r="H179" i="6"/>
  <c r="H178" i="6"/>
  <c r="H177" i="6"/>
  <c r="H176" i="6"/>
  <c r="H174" i="6"/>
  <c r="H173" i="6"/>
  <c r="H172" i="6"/>
  <c r="H171" i="6"/>
  <c r="H170" i="6"/>
  <c r="H169" i="6"/>
  <c r="H168" i="6"/>
  <c r="H166" i="6"/>
  <c r="H165" i="6"/>
  <c r="H164" i="6"/>
  <c r="H163" i="6"/>
  <c r="H162" i="6"/>
  <c r="H161" i="6"/>
  <c r="H160" i="6"/>
  <c r="H159" i="6"/>
  <c r="H158" i="6"/>
  <c r="H157" i="6"/>
  <c r="H156" i="6"/>
  <c r="H155" i="6"/>
  <c r="H154" i="6"/>
  <c r="H153" i="6"/>
  <c r="H151" i="6"/>
  <c r="H150" i="6"/>
  <c r="H149" i="6"/>
  <c r="H147" i="6"/>
  <c r="H146" i="6"/>
  <c r="H145" i="6"/>
  <c r="H141" i="6"/>
  <c r="H135" i="6"/>
  <c r="H133" i="6" s="1"/>
  <c r="G46" i="5" s="1"/>
  <c r="F132" i="6"/>
  <c r="H132" i="6" s="1"/>
  <c r="H125" i="6"/>
  <c r="H119" i="6"/>
  <c r="H117" i="6" s="1"/>
  <c r="G41" i="5" s="1"/>
  <c r="H113" i="6"/>
  <c r="H111" i="6" s="1"/>
  <c r="G39" i="5" s="1"/>
  <c r="H107" i="6"/>
  <c r="H105" i="6" s="1"/>
  <c r="G35" i="5" s="1"/>
  <c r="H104" i="6"/>
  <c r="H90" i="6"/>
  <c r="H88" i="6"/>
  <c r="H86" i="6"/>
  <c r="H84" i="6"/>
  <c r="H82" i="6"/>
  <c r="H80" i="6"/>
  <c r="H78" i="6"/>
  <c r="H76" i="6"/>
  <c r="G70" i="6"/>
  <c r="H70" i="6" s="1"/>
  <c r="H68" i="6"/>
  <c r="H66" i="6"/>
  <c r="H65" i="6"/>
  <c r="H63" i="6"/>
  <c r="H62" i="6"/>
  <c r="H61" i="6"/>
  <c r="H60" i="6"/>
  <c r="H58" i="6"/>
  <c r="H57" i="6"/>
  <c r="H56" i="6"/>
  <c r="H55" i="6"/>
  <c r="H53" i="6"/>
  <c r="H52" i="6"/>
  <c r="F50" i="6"/>
  <c r="H50" i="6" s="1"/>
  <c r="F49" i="6"/>
  <c r="H49" i="6" s="1"/>
  <c r="F47" i="6"/>
  <c r="H47" i="6" s="1"/>
  <c r="H46" i="6"/>
  <c r="F45" i="6"/>
  <c r="H45" i="6" s="1"/>
  <c r="F44" i="6"/>
  <c r="H44" i="6" s="1"/>
  <c r="F43" i="6"/>
  <c r="H43" i="6" s="1"/>
  <c r="F42" i="6"/>
  <c r="H42" i="6" s="1"/>
  <c r="F40" i="6"/>
  <c r="H40" i="6" s="1"/>
  <c r="F39" i="6"/>
  <c r="H39" i="6" s="1"/>
  <c r="F38" i="6"/>
  <c r="H38" i="6" s="1"/>
  <c r="F37" i="6"/>
  <c r="H37" i="6" s="1"/>
  <c r="F36" i="6"/>
  <c r="H36" i="6" s="1"/>
  <c r="F35" i="6"/>
  <c r="H35" i="6" s="1"/>
  <c r="H33" i="6"/>
  <c r="F32" i="6"/>
  <c r="H32" i="6" s="1"/>
  <c r="H30" i="6"/>
  <c r="H29" i="6"/>
  <c r="H28" i="6"/>
  <c r="H27" i="6"/>
  <c r="H25" i="6"/>
  <c r="H24" i="6"/>
  <c r="H23" i="6"/>
  <c r="H22" i="6"/>
  <c r="H21" i="6"/>
  <c r="H20" i="6"/>
  <c r="H18" i="6"/>
  <c r="H17" i="6"/>
  <c r="H16" i="6"/>
  <c r="H15" i="6"/>
  <c r="H14" i="6"/>
  <c r="H51" i="6" l="1"/>
  <c r="G20" i="5" s="1"/>
  <c r="H682" i="6"/>
  <c r="H664" i="6" s="1"/>
  <c r="G212" i="5" s="1"/>
  <c r="H1222" i="6"/>
  <c r="G271" i="5" s="1"/>
  <c r="H825" i="6"/>
  <c r="G225" i="5" s="1"/>
  <c r="H690" i="6"/>
  <c r="H64" i="6"/>
  <c r="G23" i="5" s="1"/>
  <c r="H694" i="6"/>
  <c r="H689" i="6" s="1"/>
  <c r="G213" i="5" s="1"/>
  <c r="H754" i="6"/>
  <c r="H54" i="6"/>
  <c r="G21" i="5" s="1"/>
  <c r="H1036" i="6"/>
  <c r="G260" i="5" s="1"/>
  <c r="H26" i="6"/>
  <c r="H829" i="6"/>
  <c r="H1568" i="6"/>
  <c r="G294" i="5" s="1"/>
  <c r="H19" i="6"/>
  <c r="G14" i="5" s="1"/>
  <c r="H144" i="6"/>
  <c r="G52" i="5" s="1"/>
  <c r="H260" i="6"/>
  <c r="G59" i="5" s="1"/>
  <c r="H377" i="6"/>
  <c r="G114" i="5" s="1"/>
  <c r="H398" i="6"/>
  <c r="G117" i="5" s="1"/>
  <c r="H736" i="6"/>
  <c r="H800" i="6"/>
  <c r="G220" i="5" s="1"/>
  <c r="H821" i="6"/>
  <c r="G224" i="5" s="1"/>
  <c r="H939" i="6"/>
  <c r="H418" i="6"/>
  <c r="G119" i="5" s="1"/>
  <c r="H987" i="6"/>
  <c r="G259" i="5" s="1"/>
  <c r="H1652" i="6"/>
  <c r="H148" i="6"/>
  <c r="G53" i="5" s="1"/>
  <c r="H915" i="6"/>
  <c r="G248" i="5" s="1"/>
  <c r="H1557" i="6"/>
  <c r="G293" i="5" s="1"/>
  <c r="H1085" i="6"/>
  <c r="G261" i="5" s="1"/>
  <c r="H1134" i="6"/>
  <c r="G262" i="5" s="1"/>
  <c r="G175" i="5"/>
  <c r="G178" i="5"/>
  <c r="G177" i="5"/>
  <c r="G179" i="5"/>
  <c r="H31" i="6"/>
  <c r="G16" i="5" s="1"/>
  <c r="H67" i="6"/>
  <c r="G24" i="5" s="1"/>
  <c r="H69" i="6"/>
  <c r="G25" i="5" s="1"/>
  <c r="H276" i="6"/>
  <c r="G63" i="5" s="1"/>
  <c r="G214" i="5"/>
  <c r="H1594" i="6"/>
  <c r="G302" i="5" s="1"/>
  <c r="G173" i="5"/>
  <c r="H243" i="6"/>
  <c r="G58" i="5" s="1"/>
  <c r="H908" i="6"/>
  <c r="G246" i="5" s="1"/>
  <c r="H1194" i="6"/>
  <c r="H1204" i="6"/>
  <c r="H1499" i="6"/>
  <c r="H1417" i="6" s="1"/>
  <c r="G290" i="5" s="1"/>
  <c r="H41" i="6"/>
  <c r="G18" i="5" s="1"/>
  <c r="H13" i="6"/>
  <c r="G13" i="5" s="1"/>
  <c r="H739" i="6"/>
  <c r="H843" i="6"/>
  <c r="G232" i="5" s="1"/>
  <c r="H853" i="6"/>
  <c r="G233" i="5" s="1"/>
  <c r="H1581" i="6"/>
  <c r="G298" i="5" s="1"/>
  <c r="H1207" i="6"/>
  <c r="G270" i="5" s="1"/>
  <c r="H1230" i="6"/>
  <c r="G276" i="5" s="1"/>
  <c r="H1247" i="6"/>
  <c r="G277" i="5" s="1"/>
  <c r="H372" i="6"/>
  <c r="G113" i="5" s="1"/>
  <c r="H1355" i="6"/>
  <c r="G289" i="5" s="1"/>
  <c r="H175" i="6"/>
  <c r="G55" i="5" s="1"/>
  <c r="G15" i="5"/>
  <c r="H34" i="6"/>
  <c r="G17" i="5" s="1"/>
  <c r="H152" i="6"/>
  <c r="G54" i="5" s="1"/>
  <c r="H472" i="6"/>
  <c r="G128" i="5" s="1"/>
  <c r="H757" i="6"/>
  <c r="H919" i="6"/>
  <c r="G249" i="5" s="1"/>
  <c r="H1200" i="6"/>
  <c r="H1588" i="6"/>
  <c r="G301" i="5" s="1"/>
  <c r="H48" i="6"/>
  <c r="G19" i="5" s="1"/>
  <c r="H59" i="6"/>
  <c r="G22" i="5" s="1"/>
  <c r="H75" i="6"/>
  <c r="G30" i="5" s="1"/>
  <c r="H514" i="6"/>
  <c r="G135" i="5" s="1"/>
  <c r="H585" i="6"/>
  <c r="G169" i="5" s="1"/>
  <c r="G306" i="5"/>
  <c r="H382" i="6"/>
  <c r="G115" i="5" s="1"/>
  <c r="H389" i="6"/>
  <c r="G116" i="5" s="1"/>
  <c r="H412" i="6"/>
  <c r="G118" i="5" s="1"/>
  <c r="H427" i="6"/>
  <c r="G120" i="5" s="1"/>
  <c r="H435" i="6"/>
  <c r="G121" i="5" s="1"/>
  <c r="H442" i="6"/>
  <c r="G122" i="5" s="1"/>
  <c r="H456" i="6"/>
  <c r="G123" i="5" s="1"/>
  <c r="H481" i="6"/>
  <c r="G129" i="5" s="1"/>
  <c r="H487" i="6"/>
  <c r="G130" i="5" s="1"/>
  <c r="H499" i="6"/>
  <c r="G134" i="5" s="1"/>
  <c r="G226" i="5"/>
  <c r="H1584" i="6"/>
  <c r="G299" i="5" s="1"/>
  <c r="G284" i="5"/>
  <c r="G136" i="5"/>
  <c r="G139" i="5"/>
  <c r="H1310" i="6"/>
  <c r="H1307" i="6" s="1"/>
  <c r="H1278" i="6" s="1"/>
  <c r="G288" i="5" s="1"/>
  <c r="H124" i="6"/>
  <c r="H123" i="6"/>
  <c r="G43" i="5" s="1"/>
  <c r="H131" i="6"/>
  <c r="H130" i="6"/>
  <c r="G45" i="5" s="1"/>
  <c r="H140" i="6"/>
  <c r="H139" i="6"/>
  <c r="G48" i="5" s="1"/>
  <c r="H103" i="6"/>
  <c r="H102" i="6"/>
  <c r="G34" i="5" s="1"/>
  <c r="H890" i="6"/>
  <c r="H869" i="6"/>
  <c r="G240" i="5" s="1"/>
  <c r="H895" i="6"/>
  <c r="H787" i="6"/>
  <c r="H760" i="6" s="1"/>
  <c r="H866" i="6"/>
  <c r="G239" i="5" s="1"/>
  <c r="H875" i="6"/>
  <c r="H1555" i="6"/>
  <c r="G292" i="5" s="1"/>
  <c r="H539" i="6"/>
  <c r="G146" i="5" s="1"/>
  <c r="H573" i="6"/>
  <c r="G163" i="5" s="1"/>
  <c r="H296" i="6"/>
  <c r="G73" i="5" s="1"/>
  <c r="H114" i="6"/>
  <c r="G40" i="5" s="1"/>
  <c r="H284" i="6"/>
  <c r="G67" i="5" s="1"/>
  <c r="H286" i="6"/>
  <c r="G68" i="5" s="1"/>
  <c r="H288" i="6"/>
  <c r="G69" i="5" s="1"/>
  <c r="H235" i="6"/>
  <c r="H547" i="6"/>
  <c r="G150" i="5" s="1"/>
  <c r="H369" i="6"/>
  <c r="G112" i="5" s="1"/>
  <c r="H901" i="6"/>
  <c r="H217" i="6"/>
  <c r="H290" i="6"/>
  <c r="G70" i="5" s="1"/>
  <c r="H200" i="6"/>
  <c r="H222" i="6"/>
  <c r="H202" i="6"/>
  <c r="H210" i="6"/>
  <c r="H224" i="6"/>
  <c r="H232" i="6"/>
  <c r="H241" i="6"/>
  <c r="H745" i="6"/>
  <c r="H204" i="6"/>
  <c r="H230" i="6"/>
  <c r="H366" i="6"/>
  <c r="G111" i="5" s="1"/>
  <c r="H212" i="6"/>
  <c r="H115" i="6"/>
  <c r="H1616" i="6"/>
  <c r="H223" i="6"/>
  <c r="H227" i="6"/>
  <c r="H231" i="6"/>
  <c r="H240" i="6"/>
  <c r="H1545" i="6"/>
  <c r="H237" i="6"/>
  <c r="H1643" i="6"/>
  <c r="H203" i="6"/>
  <c r="H106" i="6"/>
  <c r="H208" i="6"/>
  <c r="H220" i="6"/>
  <c r="H229" i="6"/>
  <c r="H238" i="6"/>
  <c r="H228" i="6"/>
  <c r="H735" i="6"/>
  <c r="H734" i="6" s="1"/>
  <c r="H497" i="6"/>
  <c r="G133" i="5" s="1"/>
  <c r="H201" i="6"/>
  <c r="H216" i="6"/>
  <c r="H207" i="6"/>
  <c r="H234" i="6"/>
  <c r="H211" i="6"/>
  <c r="H219" i="6"/>
  <c r="H205" i="6"/>
  <c r="H209" i="6"/>
  <c r="H225" i="6"/>
  <c r="F1543" i="6"/>
  <c r="H1543" i="6" s="1"/>
  <c r="H215" i="6"/>
  <c r="H748" i="6"/>
  <c r="H1640" i="6"/>
  <c r="H242" i="6"/>
  <c r="H239" i="6"/>
  <c r="H206" i="6"/>
  <c r="H213" i="6"/>
  <c r="H218" i="6"/>
  <c r="H226" i="6"/>
  <c r="H233" i="6"/>
  <c r="H1619" i="6"/>
  <c r="H742" i="6"/>
  <c r="H751" i="6"/>
  <c r="H112" i="6"/>
  <c r="H118" i="6"/>
  <c r="H134" i="6"/>
  <c r="H1183" i="6" l="1"/>
  <c r="G269" i="5" s="1"/>
  <c r="H703" i="6"/>
  <c r="J196" i="5"/>
  <c r="J188" i="5"/>
  <c r="G258" i="5"/>
  <c r="H880" i="6"/>
  <c r="G245" i="5" s="1"/>
  <c r="H1539" i="6"/>
  <c r="G291" i="5" s="1"/>
  <c r="J280" i="5"/>
  <c r="G219" i="5"/>
  <c r="H221" i="6"/>
  <c r="G57" i="5" s="1"/>
  <c r="H199" i="6"/>
  <c r="G56" i="5" s="1"/>
  <c r="G241" i="5"/>
  <c r="G218" i="5"/>
  <c r="H1615" i="6"/>
  <c r="G304" i="5" s="1"/>
  <c r="J176" i="5" l="1"/>
  <c r="J264" i="5"/>
  <c r="D15" i="9"/>
  <c r="D25" i="9"/>
  <c r="J32" i="5"/>
  <c r="J296" i="5"/>
  <c r="J37" i="5"/>
  <c r="J286" i="5"/>
  <c r="J11" i="5"/>
  <c r="J148" i="5"/>
  <c r="J110" i="5"/>
  <c r="J28" i="5"/>
  <c r="J61" i="5"/>
  <c r="J210" i="5"/>
  <c r="J256" i="5"/>
  <c r="J274" i="5"/>
  <c r="J228" i="5"/>
  <c r="J222" i="5"/>
  <c r="J236" i="5"/>
  <c r="D10" i="9"/>
  <c r="D24" i="9" l="1"/>
  <c r="D9" i="9"/>
  <c r="J216" i="5"/>
  <c r="D20" i="9"/>
  <c r="D22" i="9"/>
  <c r="D11" i="9"/>
  <c r="D18" i="9"/>
  <c r="D16" i="9"/>
  <c r="D26" i="9"/>
  <c r="D19" i="9"/>
  <c r="D13" i="9"/>
  <c r="D8" i="9"/>
  <c r="D23" i="9"/>
  <c r="J50" i="5"/>
  <c r="J108" i="5"/>
  <c r="D27" i="9"/>
  <c r="J243" i="5"/>
  <c r="D21" i="9" l="1"/>
  <c r="I28" i="9" s="1" a="1"/>
  <c r="D17" i="9"/>
  <c r="D12" i="9"/>
  <c r="D14" i="9"/>
  <c r="J310" i="5"/>
  <c r="O28" i="9" a="1"/>
  <c r="K28" i="9" a="1"/>
  <c r="K12" i="5" l="1"/>
  <c r="K36" i="5"/>
  <c r="K60" i="5"/>
  <c r="K244" i="5"/>
  <c r="K29" i="5"/>
  <c r="K33" i="5"/>
  <c r="K38" i="5"/>
  <c r="K62" i="5"/>
  <c r="K242" i="5"/>
  <c r="K31" i="5"/>
  <c r="K109" i="5"/>
  <c r="K197" i="5"/>
  <c r="K221" i="5"/>
  <c r="K229" i="5"/>
  <c r="K237" i="5"/>
  <c r="K285" i="5"/>
  <c r="K273" i="5"/>
  <c r="K297" i="5"/>
  <c r="K195" i="5"/>
  <c r="K215" i="5"/>
  <c r="K223" i="5"/>
  <c r="K255" i="5"/>
  <c r="K263" i="5"/>
  <c r="K279" i="5"/>
  <c r="K287" i="5"/>
  <c r="K295" i="5"/>
  <c r="K49" i="5"/>
  <c r="K209" i="5"/>
  <c r="K217" i="5"/>
  <c r="K257" i="5"/>
  <c r="K265" i="5"/>
  <c r="K281" i="5"/>
  <c r="K27" i="5"/>
  <c r="K51" i="5"/>
  <c r="K107" i="5"/>
  <c r="K211" i="5"/>
  <c r="K275" i="5"/>
  <c r="K227" i="5"/>
  <c r="K235" i="5"/>
  <c r="K106" i="5"/>
  <c r="K26" i="5"/>
  <c r="K253" i="5"/>
  <c r="K268" i="5"/>
  <c r="K254" i="5"/>
  <c r="K47" i="5"/>
  <c r="K267" i="5"/>
  <c r="K186" i="5"/>
  <c r="K266" i="5"/>
  <c r="K187" i="5"/>
  <c r="K172" i="5"/>
  <c r="K185" i="5"/>
  <c r="K184" i="5"/>
  <c r="K182" i="5"/>
  <c r="K181" i="5"/>
  <c r="K183" i="5"/>
  <c r="K307" i="5"/>
  <c r="K143" i="5"/>
  <c r="K272" i="5"/>
  <c r="K282" i="5"/>
  <c r="K252" i="5"/>
  <c r="K305" i="5"/>
  <c r="K180" i="5"/>
  <c r="K190" i="5"/>
  <c r="K46" i="5"/>
  <c r="K294" i="5"/>
  <c r="K306" i="5"/>
  <c r="K224" i="5"/>
  <c r="K137" i="5"/>
  <c r="K206" i="5"/>
  <c r="K89" i="5"/>
  <c r="K24" i="5"/>
  <c r="K152" i="5"/>
  <c r="K300" i="5"/>
  <c r="K154" i="5"/>
  <c r="K96" i="5"/>
  <c r="K80" i="5"/>
  <c r="K122" i="5"/>
  <c r="K175" i="5"/>
  <c r="K192" i="5"/>
  <c r="K168" i="5"/>
  <c r="K292" i="5"/>
  <c r="K203" i="5"/>
  <c r="K102" i="5"/>
  <c r="K86" i="5"/>
  <c r="K17" i="5"/>
  <c r="K105" i="5"/>
  <c r="K234" i="5"/>
  <c r="K93" i="5"/>
  <c r="K302" i="5"/>
  <c r="K166" i="5"/>
  <c r="K283" i="5"/>
  <c r="K153" i="5"/>
  <c r="K95" i="5"/>
  <c r="K79" i="5"/>
  <c r="K299" i="5"/>
  <c r="K290" i="5"/>
  <c r="K52" i="5"/>
  <c r="K289" i="5"/>
  <c r="K25" i="5"/>
  <c r="K84" i="5"/>
  <c r="K158" i="5"/>
  <c r="K125" i="5"/>
  <c r="K44" i="5"/>
  <c r="K101" i="5"/>
  <c r="K141" i="5"/>
  <c r="K99" i="5"/>
  <c r="K139" i="5"/>
  <c r="K74" i="5"/>
  <c r="K249" i="5"/>
  <c r="K213" i="5"/>
  <c r="K147" i="5"/>
  <c r="K198" i="5"/>
  <c r="K81" i="5"/>
  <c r="K293" i="5"/>
  <c r="K161" i="5"/>
  <c r="K230" i="5"/>
  <c r="K127" i="5"/>
  <c r="K92" i="5"/>
  <c r="K76" i="5"/>
  <c r="K128" i="5"/>
  <c r="K248" i="5"/>
  <c r="K149" i="5"/>
  <c r="K171" i="5"/>
  <c r="K144" i="5"/>
  <c r="K199" i="5"/>
  <c r="K98" i="5"/>
  <c r="K82" i="5"/>
  <c r="K173" i="5"/>
  <c r="K164" i="5"/>
  <c r="K202" i="5"/>
  <c r="K85" i="5"/>
  <c r="K178" i="5"/>
  <c r="K165" i="5"/>
  <c r="K208" i="5"/>
  <c r="K126" i="5"/>
  <c r="K91" i="5"/>
  <c r="K75" i="5"/>
  <c r="K54" i="5"/>
  <c r="K63" i="5"/>
  <c r="K193" i="5"/>
  <c r="K48" i="5"/>
  <c r="K13" i="5"/>
  <c r="K194" i="5"/>
  <c r="K160" i="5"/>
  <c r="K124" i="5"/>
  <c r="K71" i="5"/>
  <c r="K142" i="5"/>
  <c r="K162" i="5"/>
  <c r="K205" i="5"/>
  <c r="K104" i="5"/>
  <c r="K88" i="5"/>
  <c r="K65" i="5"/>
  <c r="K246" i="5"/>
  <c r="K119" i="5"/>
  <c r="K140" i="5"/>
  <c r="K159" i="5"/>
  <c r="K278" i="5"/>
  <c r="K132" i="5"/>
  <c r="K94" i="5"/>
  <c r="K78" i="5"/>
  <c r="K271" i="5"/>
  <c r="K174" i="5"/>
  <c r="K131" i="5"/>
  <c r="K77" i="5"/>
  <c r="K151" i="5"/>
  <c r="K167" i="5"/>
  <c r="K204" i="5"/>
  <c r="K103" i="5"/>
  <c r="K87" i="5"/>
  <c r="K64" i="5"/>
  <c r="K179" i="5"/>
  <c r="K136" i="5"/>
  <c r="K155" i="5"/>
  <c r="K138" i="5"/>
  <c r="K97" i="5"/>
  <c r="K35" i="5"/>
  <c r="K157" i="5"/>
  <c r="K170" i="5"/>
  <c r="K201" i="5"/>
  <c r="K100" i="5"/>
  <c r="K189" i="5"/>
  <c r="K214" i="5"/>
  <c r="K191" i="5"/>
  <c r="K72" i="5"/>
  <c r="K207" i="5"/>
  <c r="K90" i="5"/>
  <c r="K156" i="5"/>
  <c r="K66" i="5"/>
  <c r="K284" i="5"/>
  <c r="K145" i="5"/>
  <c r="K200" i="5"/>
  <c r="K83" i="5"/>
  <c r="K270" i="5"/>
  <c r="K262" i="5"/>
  <c r="K212" i="5"/>
  <c r="K16" i="5"/>
  <c r="K258" i="5"/>
  <c r="K14" i="5"/>
  <c r="K260" i="5"/>
  <c r="K19" i="5"/>
  <c r="K112" i="5"/>
  <c r="K113" i="5"/>
  <c r="K73" i="5"/>
  <c r="K39" i="5"/>
  <c r="K303" i="5"/>
  <c r="K134" i="5"/>
  <c r="K240" i="5"/>
  <c r="K117" i="5"/>
  <c r="K116" i="5"/>
  <c r="K304" i="5"/>
  <c r="K68" i="5"/>
  <c r="K23" i="5"/>
  <c r="K232" i="5"/>
  <c r="K59" i="5"/>
  <c r="K220" i="5"/>
  <c r="K40" i="5"/>
  <c r="K225" i="5"/>
  <c r="K69" i="5"/>
  <c r="K291" i="5"/>
  <c r="K43" i="5"/>
  <c r="K241" i="5"/>
  <c r="K123" i="5"/>
  <c r="K301" i="5"/>
  <c r="K135" i="5"/>
  <c r="K276" i="5"/>
  <c r="K18" i="5"/>
  <c r="K177" i="5"/>
  <c r="K269" i="5"/>
  <c r="K163" i="5"/>
  <c r="K55" i="5"/>
  <c r="K70" i="5"/>
  <c r="K42" i="5"/>
  <c r="K196" i="5"/>
  <c r="K130" i="5"/>
  <c r="K288" i="5"/>
  <c r="K259" i="5"/>
  <c r="K298" i="5"/>
  <c r="K280" i="5"/>
  <c r="K261" i="5"/>
  <c r="K30" i="5"/>
  <c r="K21" i="5"/>
  <c r="K34" i="5"/>
  <c r="K120" i="5"/>
  <c r="K111" i="5"/>
  <c r="K146" i="5"/>
  <c r="K150" i="5"/>
  <c r="K41" i="5"/>
  <c r="K169" i="5"/>
  <c r="K115" i="5"/>
  <c r="K22" i="5"/>
  <c r="K226" i="5"/>
  <c r="K247" i="5"/>
  <c r="K219" i="5"/>
  <c r="K121" i="5"/>
  <c r="K188" i="5"/>
  <c r="K67" i="5"/>
  <c r="K277" i="5"/>
  <c r="K114" i="5"/>
  <c r="K129" i="5"/>
  <c r="K231" i="5"/>
  <c r="K238" i="5"/>
  <c r="K15" i="5"/>
  <c r="K133" i="5"/>
  <c r="K58" i="5"/>
  <c r="K20" i="5"/>
  <c r="K53" i="5"/>
  <c r="K239" i="5"/>
  <c r="K118" i="5"/>
  <c r="K45" i="5"/>
  <c r="K233" i="5"/>
  <c r="K245" i="5"/>
  <c r="K28" i="5"/>
  <c r="K236" i="5"/>
  <c r="K37" i="5"/>
  <c r="K222" i="5"/>
  <c r="K296" i="5"/>
  <c r="K251" i="5"/>
  <c r="K32" i="5"/>
  <c r="K61" i="5"/>
  <c r="K218" i="5"/>
  <c r="K210" i="5"/>
  <c r="K286" i="5"/>
  <c r="K110" i="5"/>
  <c r="K228" i="5"/>
  <c r="K176" i="5"/>
  <c r="K250" i="5"/>
  <c r="K57" i="5"/>
  <c r="K274" i="5"/>
  <c r="K256" i="5"/>
  <c r="K56" i="5"/>
  <c r="K264" i="5"/>
  <c r="K148" i="5"/>
  <c r="K11" i="5"/>
  <c r="K108" i="5"/>
  <c r="M28" i="9" a="1"/>
  <c r="M28" i="9" s="1"/>
  <c r="D28" i="9"/>
  <c r="D29" i="9" s="1"/>
  <c r="K216" i="5"/>
  <c r="L28" i="9" a="1"/>
  <c r="J28" i="9" a="1"/>
  <c r="J28" i="9" s="1"/>
  <c r="J29" i="9" s="1"/>
  <c r="K50" i="5"/>
  <c r="H28" i="9" a="1"/>
  <c r="N28" i="9" a="1"/>
  <c r="K243" i="5"/>
  <c r="L28" i="9"/>
  <c r="L29" i="9" s="1"/>
  <c r="H28" i="9"/>
  <c r="I28" i="9"/>
  <c r="I29" i="9" s="1"/>
  <c r="K28" i="9"/>
  <c r="K29" i="9" s="1"/>
  <c r="N28" i="9"/>
  <c r="G28" i="9" a="1"/>
  <c r="G28" i="9" s="1"/>
  <c r="F28" i="9" a="1"/>
  <c r="F28" i="9" s="1"/>
  <c r="M29" i="9"/>
  <c r="J311" i="5"/>
  <c r="E8" i="9" l="1"/>
  <c r="E12" i="9"/>
  <c r="E11" i="9"/>
  <c r="E25" i="9"/>
  <c r="M30" i="9"/>
  <c r="E26" i="9"/>
  <c r="G30" i="9"/>
  <c r="E15" i="9"/>
  <c r="E21" i="9"/>
  <c r="E24" i="9"/>
  <c r="E18" i="9"/>
  <c r="E14" i="9"/>
  <c r="E9" i="9"/>
  <c r="E27" i="9"/>
  <c r="E20" i="9"/>
  <c r="E19" i="9"/>
  <c r="E22" i="9"/>
  <c r="E13" i="9"/>
  <c r="E23" i="9"/>
  <c r="E16" i="9"/>
  <c r="E17" i="9"/>
  <c r="E10" i="9"/>
  <c r="N30" i="9"/>
  <c r="H30" i="9"/>
  <c r="I30" i="9"/>
  <c r="J30" i="9"/>
  <c r="K30" i="9"/>
  <c r="H29" i="9"/>
  <c r="N29" i="9"/>
  <c r="L30" i="9"/>
  <c r="G29" i="9"/>
  <c r="F29" i="9"/>
  <c r="F30" i="9"/>
  <c r="F32" i="9" s="1"/>
  <c r="J312" i="5"/>
  <c r="E28" i="9"/>
  <c r="F31" i="9" l="1"/>
  <c r="G31" i="9" s="1"/>
  <c r="H31" i="9" s="1"/>
  <c r="I31" i="9" s="1"/>
  <c r="J31" i="9" s="1"/>
  <c r="K31" i="9" s="1"/>
  <c r="L31" i="9" s="1"/>
  <c r="M31" i="9" s="1"/>
  <c r="N31" i="9" s="1"/>
  <c r="G32" i="9"/>
  <c r="H32" i="9" s="1"/>
  <c r="I32" i="9" s="1"/>
  <c r="J32" i="9" s="1"/>
  <c r="K32" i="9" s="1"/>
  <c r="L32" i="9" s="1"/>
  <c r="M32" i="9" s="1"/>
  <c r="N32" i="9" s="1"/>
  <c r="P25" i="9"/>
  <c r="O28" i="9"/>
  <c r="O30" i="9" l="1"/>
  <c r="R28" i="9"/>
  <c r="O29" i="9"/>
  <c r="R29" i="9" s="1"/>
  <c r="O32" i="9" l="1"/>
  <c r="P30" i="9"/>
  <c r="O31"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tc={7F4CFF1E-92FB-47FB-8DF3-2A714DFEDBED}</author>
  </authors>
  <commentList>
    <comment ref="D1141" authorId="0" shapeId="0" xr:uid="{7F4CFF1E-92FB-47FB-8DF3-2A714DFEDBED}">
      <text>
        <t>[Comentário encadeado]
Sua versão do Excel permite que você leia este comentário encadeado, no entanto, as edições serão removidas se o arquivo for aberto em uma versão mais recente do Excel. Saiba mais: https://go.microsoft.com/fwlink/?linkid=870924
Comentário:
    mudar para comprimento e largura</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<sst xmlns="http://schemas.openxmlformats.org/spreadsheetml/2006/main" count="4914" uniqueCount="1175">
  <si>
    <t>SECRETARIA MUNICIPAL DE EDUCAÇÃO</t>
  </si>
  <si>
    <t>REFORMA E AMPLIAÇÃO - CMEI ANIBAL ROSA DO NASCIMENTO</t>
  </si>
  <si>
    <t>AV. JOSÉ MARCELINO, N º 1050, CASTELO BRANCO</t>
  </si>
  <si>
    <t xml:space="preserve">  </t>
  </si>
  <si>
    <t>TABELA SINAPI -  (OUTUBRO/2022) - DESONERADA</t>
  </si>
  <si>
    <t>TABELA PARANÁ - COMPOSIÇÃO DE SERVIÇO DE EDIFICAÇÃO (MARÇO / 2022) - DESONERADA</t>
  </si>
  <si>
    <t>SUDECAP - COMPOSIÇÃO DE PREÇOS - 08/22 - Desonerada  SEM BDI</t>
  </si>
  <si>
    <t>MEMÓRIA DE CÁLCULO</t>
  </si>
  <si>
    <t>ITEM</t>
  </si>
  <si>
    <t xml:space="preserve">CÓDIGO </t>
  </si>
  <si>
    <t>UNID.</t>
  </si>
  <si>
    <t>GRUPO DE SERVIÇO 164: SERVIÇOS PRELIMINARES</t>
  </si>
  <si>
    <t>020000</t>
  </si>
  <si>
    <t>SERVIÇOS PRELIMINARES</t>
  </si>
  <si>
    <t>TOTAL</t>
  </si>
  <si>
    <t>1.1</t>
  </si>
  <si>
    <t>DEMOLIÇÃO COBERTURA TELHA CERÂMICA C/ TRANSP. ATÉ CB. E CARGA</t>
  </si>
  <si>
    <t>m²</t>
  </si>
  <si>
    <t>COMPRIMENTO  (M)</t>
  </si>
  <si>
    <t>LARGURA (M)</t>
  </si>
  <si>
    <t xml:space="preserve">Sala 1 </t>
  </si>
  <si>
    <t>Sala 2</t>
  </si>
  <si>
    <t>Sala 3</t>
  </si>
  <si>
    <t>Corredores</t>
  </si>
  <si>
    <t>Banheiro</t>
  </si>
  <si>
    <t>1.2</t>
  </si>
  <si>
    <t>DEMOLIÇÃO ESTRUTURA EM MADEIRA TELHADO C/ TRANSP. ATÉ CB. E CARGA</t>
  </si>
  <si>
    <t>COMPRIMENTO (M)</t>
  </si>
  <si>
    <t>Sala 1</t>
  </si>
  <si>
    <t>Sala 4</t>
  </si>
  <si>
    <t xml:space="preserve">Fraldário Berç. 1 </t>
  </si>
  <si>
    <t>1.3</t>
  </si>
  <si>
    <t>DEMOLIÇÃO MANUAL DE PISO CIMENT.SOBRE LASTRO CONC.C/TR.ATÉ CB. E CARGA</t>
  </si>
  <si>
    <t>1.4</t>
  </si>
  <si>
    <t>DEMOLIÇÃO MANUAL DE REVESTIMENTOS COM AZULEJO C/TRANSP. ATÉ CB. E CARGA</t>
  </si>
  <si>
    <t>ALTURA(M)</t>
  </si>
  <si>
    <t>Sala 3 barrado de 1m de 2 paredes</t>
  </si>
  <si>
    <t>Em uma parte interna do muro perto do refeitório</t>
  </si>
  <si>
    <t>1.5</t>
  </si>
  <si>
    <t>DEMOLIÇÃO MANUAL DE REVESTIMENTO C/ARGAMASSA C/TR.ATÉ CB.E CARGA</t>
  </si>
  <si>
    <t>ALTURA (M)</t>
  </si>
  <si>
    <t>Sala 3 interno</t>
  </si>
  <si>
    <t>Sala 4 interno</t>
  </si>
  <si>
    <t xml:space="preserve">Sala 4 externo </t>
  </si>
  <si>
    <t>Sala 5 externo</t>
  </si>
  <si>
    <t xml:space="preserve"> Desconto de janelas e portas</t>
  </si>
  <si>
    <t>1.6</t>
  </si>
  <si>
    <t>DEMOLIÇÃO MANUAL ALVENARIA TIJOLO S/REAP. C/TR.ATÉ CB. E CARGA</t>
  </si>
  <si>
    <t>m³</t>
  </si>
  <si>
    <t>ÁREA(M²)</t>
  </si>
  <si>
    <t>Sala 1 todas as paredes</t>
  </si>
  <si>
    <t>Sala 2 todas as paredes</t>
  </si>
  <si>
    <t>Banheiro todas as paredes</t>
  </si>
  <si>
    <t>Sala 3  2 paredes</t>
  </si>
  <si>
    <t>Alvenarias que foram levantadas da cozinha nova</t>
  </si>
  <si>
    <t>Alvenarias dos corredores ( bandeirolas)</t>
  </si>
  <si>
    <t>1.7</t>
  </si>
  <si>
    <t>DEMOLIÇÃO MANUAL EM CONCRETO SIMPLES C/TR.ATÉ CB.E CARGA (O.C)</t>
  </si>
  <si>
    <t>ESPESSURA (M)</t>
  </si>
  <si>
    <t>Calçadas das laterais</t>
  </si>
  <si>
    <t>Calçadas fundo (onde será um novo solário)</t>
  </si>
  <si>
    <t>1.8</t>
  </si>
  <si>
    <t>REMOÇÃO MANUAL DE TUBULAÇÃO (TUBO E CONEXÃO) C/ TRANSP. ATÉ CB. E CARGA (EXCLUSO RASGOS E ESCAVAÇÕES)</t>
  </si>
  <si>
    <t>m</t>
  </si>
  <si>
    <t>Cozinha</t>
  </si>
  <si>
    <t>1.9</t>
  </si>
  <si>
    <t>REMOÇÃO MANUAL DE LUMINÁRIA C/ TRANSP. ATÉ CB. E CARGA</t>
  </si>
  <si>
    <t>und</t>
  </si>
  <si>
    <t>UNIDADE</t>
  </si>
  <si>
    <t>Banheiro antigo</t>
  </si>
  <si>
    <t>1.10</t>
  </si>
  <si>
    <t>REMOÇÃO MANUAL DE INTERRUPTOR/TOMADA ELÉTRICA/DISJUNTOR C/ TRANSP. ATÉ CB. E CARGA</t>
  </si>
  <si>
    <t>1.11</t>
  </si>
  <si>
    <t>REMOÇÃO MANUAL DE METAL SANITÁRIO (VÁLVULAS/SIFÃO/REGISTROS/TORNEIRAS/ OUTROS) C/ TRANSP. ATÉ CB. E CARGA</t>
  </si>
  <si>
    <t>Cozinha antiga</t>
  </si>
  <si>
    <t>1.12</t>
  </si>
  <si>
    <t>PLACA DE OBRA PLOTADA EM CHAPA METÁLICA 26 , AFIXADA EM CAVALETES DE MADEIRA DE LEI (VIGOTAS 6X12CM) - PADRÃO GOINFRA</t>
  </si>
  <si>
    <t>Placa de obra</t>
  </si>
  <si>
    <t>1.13</t>
  </si>
  <si>
    <t>SINAPI 97627</t>
  </si>
  <si>
    <t>DEMOLIÇÃO DE PILARES E VIGAS EM CONCRETO ARMADO, DE FORMA MECANIZADA</t>
  </si>
  <si>
    <t xml:space="preserve">QUANTIDADE </t>
  </si>
  <si>
    <t>DIMENSÃO</t>
  </si>
  <si>
    <t>Pilares dos corredores</t>
  </si>
  <si>
    <t>1.14</t>
  </si>
  <si>
    <t>SINAPI 98524</t>
  </si>
  <si>
    <t>LIMPEZA MANUAL DE VEGETAÇÃO EM TERRENO COM ENXADA.</t>
  </si>
  <si>
    <t>Corredores, manutenção da grama e canteiro de obras</t>
  </si>
  <si>
    <t>GRUPO DE SERVIÇO: 165 - TRANSPORTES</t>
  </si>
  <si>
    <t>030000</t>
  </si>
  <si>
    <t>TRANSPORTES</t>
  </si>
  <si>
    <t>2.1</t>
  </si>
  <si>
    <t>TRANSPORTE DE ENTULHO CAÇAMBA ESTACIONÁRIA SEM CARGA (EMPOLAMENTO 30%)</t>
  </si>
  <si>
    <t>DIMENSÕES</t>
  </si>
  <si>
    <t>ÁREA (M²)</t>
  </si>
  <si>
    <t>Demolição cobertura telha cerâmica c/ transp.até cb. e carga</t>
  </si>
  <si>
    <t>Demolição estrutura em madeira telhado c/ transp.até cb. e carga</t>
  </si>
  <si>
    <t xml:space="preserve">Demolição manual de piso ciment. sobre lastro conc.c/tr. até cb. e carga  </t>
  </si>
  <si>
    <t xml:space="preserve">Demolição manual de piso cerâmico sobre lastro conc.c/tr. cb e carga </t>
  </si>
  <si>
    <t>Demolição manual de resvestimentos com azulejo c/ transp.até cb. e carga</t>
  </si>
  <si>
    <t xml:space="preserve">Demolição manual de resvestimento c/ argamassa c/tr. até cb. e carga </t>
  </si>
  <si>
    <t xml:space="preserve">Demolição manual alvenaria tijolo s/ reap. c/tr. até cb. e carga </t>
  </si>
  <si>
    <t xml:space="preserve">Demolição manual em concreto cimples c/tr. até cb. e carga (o.c) </t>
  </si>
  <si>
    <t xml:space="preserve">Remoção manual de tubulação (tudo e conexão) c/ transp. até cb. e carga (Excluso rasgos e escavações) </t>
  </si>
  <si>
    <t>Remoção manual de luminária c/ transp. até cb. e carga</t>
  </si>
  <si>
    <t>Remoção manual de interruptor/ tomasa elétrica/disjuntor c/ transp. até cb. e carga</t>
  </si>
  <si>
    <t xml:space="preserve">Demolição de pilares e vigas em concreto armado, de forma mecanizada </t>
  </si>
  <si>
    <t>GRUPO DE SERVIÇO: 166 - SERVIÇOS EM TERRA</t>
  </si>
  <si>
    <t>040000</t>
  </si>
  <si>
    <t>SERVIÇOS EM TERRA</t>
  </si>
  <si>
    <t>3.1</t>
  </si>
  <si>
    <t>ESCAVAÇÃO MANUAL DE VALAS PROF.1 A 2 M</t>
  </si>
  <si>
    <t>Sala 1, 2 e 3</t>
  </si>
  <si>
    <r>
      <t xml:space="preserve">  </t>
    </r>
    <r>
      <rPr>
        <sz val="12"/>
        <color theme="1"/>
        <rFont val="Arial"/>
        <family val="2"/>
      </rPr>
      <t xml:space="preserve"> E1=E2=E3=E4=E5=E6=E7=E8</t>
    </r>
  </si>
  <si>
    <t>3.2</t>
  </si>
  <si>
    <t xml:space="preserve">APILOAMENTO </t>
  </si>
  <si>
    <t>GRUPO DE SERVIÇO: 167 - FUNDAÇÕES E SONDAGENS</t>
  </si>
  <si>
    <t>050000</t>
  </si>
  <si>
    <t>FUNDAÇÕES E SONDAGENS</t>
  </si>
  <si>
    <t>ESTACAS</t>
  </si>
  <si>
    <t xml:space="preserve"> TOTAL</t>
  </si>
  <si>
    <t>4.1</t>
  </si>
  <si>
    <t>ESTACA A TRADO DIAM.30 CM SEM FERRO</t>
  </si>
  <si>
    <t>4.2</t>
  </si>
  <si>
    <t>PREPARO COM BETONEIRA E TRANSPORTE MANUAL DE CONCRETO PARA LASTRO - (O.C.)</t>
  </si>
  <si>
    <t>4.3</t>
  </si>
  <si>
    <t>AÇO CA 50-A - 8,0 MM (5/16") - (OBRAS CIVIS)</t>
  </si>
  <si>
    <t>KG</t>
  </si>
  <si>
    <t>DENSIDADE</t>
  </si>
  <si>
    <t>4.4</t>
  </si>
  <si>
    <t>AÇO CA 60 - 5,0 MM  (OBRAS CIVIS)</t>
  </si>
  <si>
    <t>4.5</t>
  </si>
  <si>
    <t>CONCRETO USINADO CONVENCIONAL FCK=25 MPA COM TRANSPORTE MANUAL (O.C.) (ESTACAS)</t>
  </si>
  <si>
    <t>BLOCOS</t>
  </si>
  <si>
    <t>4.6</t>
  </si>
  <si>
    <t>ESCAVAÇÃO MANUAL DE VALAS (SAPATAS/BLOCOS)</t>
  </si>
  <si>
    <t xml:space="preserve">   BL1=BL2=BL3=BL4=BL5=BL6=BL7=BL8</t>
  </si>
  <si>
    <t>4.7</t>
  </si>
  <si>
    <t>FORMA TÁBUA PINHO P/FUNDAÇÕES U=3V - (OBRAS CIVIS)</t>
  </si>
  <si>
    <t>Sala 1,2 e 3</t>
  </si>
  <si>
    <t>4.8</t>
  </si>
  <si>
    <t>4.9</t>
  </si>
  <si>
    <t>4.10</t>
  </si>
  <si>
    <t>CONCRETO USINADO CONVENCIONAL FCK=25 MPA COM TRANSPORTE MANUAL (O.C.) (BLOCOS)</t>
  </si>
  <si>
    <t>GRUPO DE SERVIÇO: 168 - ESTRUTURA</t>
  </si>
  <si>
    <t>060000</t>
  </si>
  <si>
    <t>ESTRUTURA</t>
  </si>
  <si>
    <t>5.1</t>
  </si>
  <si>
    <t>LIMPEZA DO SUBSTRATO COM APLICAÇÃO DE JATO DE ÁGUA FRIA</t>
  </si>
  <si>
    <t>Sala 5 laje</t>
  </si>
  <si>
    <t>Fraldário Berç. 1 laje</t>
  </si>
  <si>
    <t>5.2</t>
  </si>
  <si>
    <t>FORMA DE TÁBUA CINTA BALDRAME U=8 VEZES</t>
  </si>
  <si>
    <t>5.3</t>
  </si>
  <si>
    <t>AÇO CA-50A - 8,0 MM (5/16") - (OBRAS CIVIS)</t>
  </si>
  <si>
    <t>kg</t>
  </si>
  <si>
    <t>Baldrame sala 1</t>
  </si>
  <si>
    <t>Viga aérea sala 1</t>
  </si>
  <si>
    <t>Baldrame sala 2</t>
  </si>
  <si>
    <t>Viga aérea sala 2</t>
  </si>
  <si>
    <t>Baldrame sala 3</t>
  </si>
  <si>
    <t>Viga aérea sala 3</t>
  </si>
  <si>
    <t>Viga aérea sala 4</t>
  </si>
  <si>
    <t>Viga aérea Cozinha/Corredor</t>
  </si>
  <si>
    <t>Viga aérea Lactário</t>
  </si>
  <si>
    <t>Viga aérea Vest. Fem.</t>
  </si>
  <si>
    <t>Viga aérea Vest. Masc.</t>
  </si>
  <si>
    <t xml:space="preserve">Viga aérea DML </t>
  </si>
  <si>
    <t>Viga Despensa</t>
  </si>
  <si>
    <t>Viga A.R.R.S</t>
  </si>
  <si>
    <t>Viga aérea Gás</t>
  </si>
  <si>
    <t>Viga Lavanderia</t>
  </si>
  <si>
    <t>Viga aérea Corredores</t>
  </si>
  <si>
    <t>Pilares salas P1 ao P8</t>
  </si>
  <si>
    <t>Pilares Corredores</t>
  </si>
  <si>
    <t>Ferro complementar pilares da cozinha</t>
  </si>
  <si>
    <t>Pilaretes Platibanda</t>
  </si>
  <si>
    <t>Pilaretes Mureta</t>
  </si>
  <si>
    <t>5.4</t>
  </si>
  <si>
    <t>AÇO CA - 60 - 5,0 MM - (OBRAS CIVIS)</t>
  </si>
  <si>
    <t>Viga aérea Despensa</t>
  </si>
  <si>
    <t>Viga aérea A.R.R.S</t>
  </si>
  <si>
    <t>Estribos estacas</t>
  </si>
  <si>
    <t>5.5</t>
  </si>
  <si>
    <t>PREPARO COM BETONEIRA E TRANSPORTE MANUAL DE CONCRETO FCK=25 MPA</t>
  </si>
  <si>
    <t>ÁREA SEÇÃO (M²)</t>
  </si>
  <si>
    <t>Viga Gás</t>
  </si>
  <si>
    <t>5.6</t>
  </si>
  <si>
    <t>LANÇAMENTO/APLICAÇÃO/ADENSAMENTO MANUAL DE CONCRETO - (OBRAS CIVIS)</t>
  </si>
  <si>
    <t>Viga áerea A.R.R.S</t>
  </si>
  <si>
    <t>Viga áerea Gás</t>
  </si>
  <si>
    <t>Viga áerea Lavanderia</t>
  </si>
  <si>
    <t>5.7</t>
  </si>
  <si>
    <t>FORMA CH.COMPENSADA 12MM-VIGA/PILAR U=4V - (OBRAS CIVIS)</t>
  </si>
  <si>
    <t>Sala 1 viga</t>
  </si>
  <si>
    <t>Sala 2 viga</t>
  </si>
  <si>
    <t>Sala 3 viga</t>
  </si>
  <si>
    <t>Cozinha viga</t>
  </si>
  <si>
    <t>Circulação viga</t>
  </si>
  <si>
    <t>Lactário viga</t>
  </si>
  <si>
    <t>Vest. Masc viga</t>
  </si>
  <si>
    <t>Vest. Fem viga</t>
  </si>
  <si>
    <t>DML viga</t>
  </si>
  <si>
    <t>Despensa viga</t>
  </si>
  <si>
    <t>Lavanderia viga</t>
  </si>
  <si>
    <t>Vigas dos corredores viga</t>
  </si>
  <si>
    <t>A.R.R.S viga</t>
  </si>
  <si>
    <t>Gás viga</t>
  </si>
  <si>
    <t>P1, P2, P3, P4, P5, P6, P7 e P8</t>
  </si>
  <si>
    <t xml:space="preserve">Pilares dos corredores </t>
  </si>
  <si>
    <t>5.8</t>
  </si>
  <si>
    <t>SINAPI 101964</t>
  </si>
  <si>
    <t>LAJE PRÉ-MOLDADA UNIDIRECIONAL, BIAPOIADA, PARA FORRO, ENCHIMENTO EM CERÂM M2 OU EPS</t>
  </si>
  <si>
    <t>Cozinha (laje 11)</t>
  </si>
  <si>
    <t>Lavanderia (laje 7)</t>
  </si>
  <si>
    <t>Lactário (laje 6)</t>
  </si>
  <si>
    <t>Despensa (laje 10)</t>
  </si>
  <si>
    <t>DML  (laje 9)</t>
  </si>
  <si>
    <t>Vest. Fem (laje 8)</t>
  </si>
  <si>
    <t>Vest. Masc (laje 5)</t>
  </si>
  <si>
    <t>Sala 1 (laje 4)</t>
  </si>
  <si>
    <t>Sala 2 (laje 3)</t>
  </si>
  <si>
    <t>Sala 3 (laje 2)</t>
  </si>
  <si>
    <t>Sala 4 (laje 1)</t>
  </si>
  <si>
    <t xml:space="preserve">A.R.R.S </t>
  </si>
  <si>
    <t>Laje da casa de gás</t>
  </si>
  <si>
    <t>GRUPO DE SERVIÇO: 169 - INST.ELÉT./TELEFÔNICA/ACABAMENTO ESTRUTURADO</t>
  </si>
  <si>
    <t>070000</t>
  </si>
  <si>
    <t>INST. ELÉT./TELEFÔNICA/ACABEAMENTO ESTRUTURADO</t>
  </si>
  <si>
    <t>6.1</t>
  </si>
  <si>
    <t>SINAPI 97586</t>
  </si>
  <si>
    <t xml:space="preserve">LUMINÁRIA TIPO PAFLON, DE SOBREPOR, COM 1 LÂMPADAS  FLUORESCENTE </t>
  </si>
  <si>
    <t xml:space="preserve">UNIDADE </t>
  </si>
  <si>
    <t>Vide projeto elétrico</t>
  </si>
  <si>
    <t>6.2</t>
  </si>
  <si>
    <t>6.3</t>
  </si>
  <si>
    <t>CABO ISOLADO PVC 750 V, No. 4 MM2 (PRETO)</t>
  </si>
  <si>
    <t>6.4</t>
  </si>
  <si>
    <t>CABO ISOLADO PVC 750 V, No. 4 MM2 (AZUL)</t>
  </si>
  <si>
    <t>6.5</t>
  </si>
  <si>
    <t>CABO ISOLADO PVC 750 V, No. 4 MM2 (VERDE)</t>
  </si>
  <si>
    <t>6.6</t>
  </si>
  <si>
    <t>70565</t>
  </si>
  <si>
    <t>CABO ISOLADO PVC 750 V, No. 6 MM2 (PRETO)</t>
  </si>
  <si>
    <t>6.7</t>
  </si>
  <si>
    <t>CABO ISOLADO PVC 750 V, No. 6 MM2 (VERDE)</t>
  </si>
  <si>
    <t>6.8</t>
  </si>
  <si>
    <t>CABO ISOLADO PVC 750 V, No. 6 MM2 (AZUL)</t>
  </si>
  <si>
    <t>6.9</t>
  </si>
  <si>
    <t>70563</t>
  </si>
  <si>
    <t>CABO ISOLADO PVC 750 V, No. 2,5 MM2 (AZUL)</t>
  </si>
  <si>
    <t>6.10</t>
  </si>
  <si>
    <t>CABO ISOLADO PVC 750 V, No. 2,5 MM2 (PRETO)</t>
  </si>
  <si>
    <t>6.11</t>
  </si>
  <si>
    <t>CABO ISOLADO PVC 750 V, No. 2,5 MM2 (VERDE)</t>
  </si>
  <si>
    <t>6.12</t>
  </si>
  <si>
    <t>CABO ISOLADO PVC 750 V, No. 10 MM2 (PRETO)</t>
  </si>
  <si>
    <t>6.13</t>
  </si>
  <si>
    <t>CABO ISOLADO PVC 750 V, No. 10 MM2 (AZUL)</t>
  </si>
  <si>
    <t>6.14</t>
  </si>
  <si>
    <t>CABO ISOLADO PVC 750 V, No. 10 MM2 (VERDE)</t>
  </si>
  <si>
    <t>6.15</t>
  </si>
  <si>
    <t>DISJUNTOR BIPOLAR DE 10A</t>
  </si>
  <si>
    <t>6.16</t>
  </si>
  <si>
    <t>DISJUNTOR BIPOLAR DE 16A</t>
  </si>
  <si>
    <t>6.17</t>
  </si>
  <si>
    <t>DISJUNTOR BIPOLAR DE 20A</t>
  </si>
  <si>
    <t>6.18</t>
  </si>
  <si>
    <t>DISJUNTOR BIPOLAR DE 25A</t>
  </si>
  <si>
    <t>6.19</t>
  </si>
  <si>
    <t>SINAPI 101899</t>
  </si>
  <si>
    <t>DISJUNTOR TERMOMAGNÉTICO TRIPOLAR 500A</t>
  </si>
  <si>
    <t>6.20</t>
  </si>
  <si>
    <t>ELETRODUTO PVC FLEXÍVEL - MANGUEIRA CORRUGADA LEVE - DIAM. 25MM</t>
  </si>
  <si>
    <t>6.21</t>
  </si>
  <si>
    <t>ELETRODUTO PVC FLEXÍVEL - MANGUEIRA CORRUGADA LEVE - DIAM. 32MM</t>
  </si>
  <si>
    <t>6.22</t>
  </si>
  <si>
    <t>ELETRODUTO PVC FLEXÍVEL - MANGUEIRA CORRUGADA REFORÇADA - DIAM. 50MM</t>
  </si>
  <si>
    <t>6.23</t>
  </si>
  <si>
    <t>DER- ES 150309</t>
  </si>
  <si>
    <t>QUADRO DE DISTRIBUIÇÃO DE ENERGIA, DE EMBUTIR COM 32 DIVISÕES MODULARES EM PVC C/ BARRAMENTO</t>
  </si>
  <si>
    <t>6.24</t>
  </si>
  <si>
    <t>TAMPA PARA CONDULETE DE PVC PARA 1 INTERRUPTOR</t>
  </si>
  <si>
    <t>6.25</t>
  </si>
  <si>
    <t>TAMPA PARA CONDULETE DE PVC PARA 2 TOMADAS</t>
  </si>
  <si>
    <t>6.26</t>
  </si>
  <si>
    <t>TAMPA PARA CONDULETE DE PVC PARA 1 TOMADA</t>
  </si>
  <si>
    <t>6.27</t>
  </si>
  <si>
    <t>TAMPA PARA CONDULETE DE PVC PARA 1 INTERRUPTOR E 1 TOMADA</t>
  </si>
  <si>
    <t>6.28</t>
  </si>
  <si>
    <t>TAMPA CEGA PARA CONDULETE DE PVC</t>
  </si>
  <si>
    <t>6.29</t>
  </si>
  <si>
    <t>LUMINÁRIA DE EMERGÊNCIA 30 LEDS</t>
  </si>
  <si>
    <t>6.30</t>
  </si>
  <si>
    <t>FITA DE AUTO FUSÃO, ROLO E 10,00 MM</t>
  </si>
  <si>
    <t>6.31</t>
  </si>
  <si>
    <t>CAIXA METÁLICA OCTOGONAL FUNDO MÓVEL, SIMPLES 2"</t>
  </si>
  <si>
    <t>6.32</t>
  </si>
  <si>
    <t>CONDULETE DE PVC - CAIXA COM 5 ENTRADAS</t>
  </si>
  <si>
    <t>6.33</t>
  </si>
  <si>
    <t>CONECTOR TRIPOLAR EM PORCELANA PARA FIOS DE ATÉ 10MM2 (BORNES) 50A-250V ( CHUVEIRO</t>
  </si>
  <si>
    <t>6.34</t>
  </si>
  <si>
    <t>INTERRUPTOR SIMPLES (1 SECAO)</t>
  </si>
  <si>
    <t>6.35</t>
  </si>
  <si>
    <t>SINAPI 92025</t>
  </si>
  <si>
    <t>INTERRUPTOR SIMPLES (1 MÓDULO) COM 2 TOMADAS DE EMBUTIR 2P+T 10 A</t>
  </si>
  <si>
    <t>6.36</t>
  </si>
  <si>
    <t>INTERRUPTOR PARALELO SIMPLES (1 SECAO)</t>
  </si>
  <si>
    <t>6.37</t>
  </si>
  <si>
    <t>INTERRUPTOR SIMPLES (2 MÓDULOS) COM 1 TOMADA DE EMBUTIR 2P+T 10 A,</t>
  </si>
  <si>
    <t>6.38</t>
  </si>
  <si>
    <t>TOMADA HEXAGONAL 2P + T - 10A - 250V (LINHA X OU EQUIVALENTE)</t>
  </si>
  <si>
    <t>6.39</t>
  </si>
  <si>
    <t>TOMADA HEXAGONAL 2P + T - 20A - 250V (LINHA X OU EQUIVALENTE)</t>
  </si>
  <si>
    <t>6.40</t>
  </si>
  <si>
    <t>CAIXA DE PASSAGEM 30X30X40CM COM TAMPA E DRENO BRITA</t>
  </si>
  <si>
    <t>6.41</t>
  </si>
  <si>
    <t>CABO DE COBRE NU No. 25 MM2 (4,73 M /KG)</t>
  </si>
  <si>
    <t>6.42</t>
  </si>
  <si>
    <t>HASTE REV.COBRE(COPPERWELD) 3/4" X 2,40 M C/CONECTOR</t>
  </si>
  <si>
    <t>6.43</t>
  </si>
  <si>
    <t>COMPOSIÇÃO 2</t>
  </si>
  <si>
    <t>CONECTOR PARA HASTE DE ATERRAMENTO 3/4"</t>
  </si>
  <si>
    <t>6.44</t>
  </si>
  <si>
    <t>071560</t>
  </si>
  <si>
    <t>LAMPADA MISTA DE 160 W</t>
  </si>
  <si>
    <t>GRUPO DE SERVIÇO: 170 - INSTALAÇÕES HIDRO-SANITÁRIAS</t>
  </si>
  <si>
    <t>080000</t>
  </si>
  <si>
    <t>INSTALAÇÕES HIDROSSANITÁRIAS</t>
  </si>
  <si>
    <t>7.1</t>
  </si>
  <si>
    <t>TORNEIRA DE PAREDE PARA TANQUE COM AREJADOR DIÂMETRO DE 1/2" E 3/4"</t>
  </si>
  <si>
    <t>Lavanderia</t>
  </si>
  <si>
    <t>DML</t>
  </si>
  <si>
    <t>7.2</t>
  </si>
  <si>
    <t>TORNEIRA DE JARDIM COM BICO PARA MANGUEIRA DIÂMETRO DE 1/2" E 3/4"</t>
  </si>
  <si>
    <t>Refeitório</t>
  </si>
  <si>
    <t>Pátio coberto superior</t>
  </si>
  <si>
    <t>7.3</t>
  </si>
  <si>
    <t>CHUVEIRO ELÉTRICO EM PVC COM BRAÇO METÁLICO</t>
  </si>
  <si>
    <t>Vestiário masculino</t>
  </si>
  <si>
    <t>Vestiário feminino</t>
  </si>
  <si>
    <t>W.C. Masculino infantil</t>
  </si>
  <si>
    <t>W.C. Feminino infantil</t>
  </si>
  <si>
    <t>7.4</t>
  </si>
  <si>
    <t>CUBA DE LOUÇA DE EMBUTIR OVAL MÉDIA</t>
  </si>
  <si>
    <t>7.5</t>
  </si>
  <si>
    <t>TORNEIRA DE MESA COM FECHAMENTO AUTOMÁTICO TEMPORIZADO PARA LAVATÓRIO DIÂMETRO DE 1/2"</t>
  </si>
  <si>
    <t>Banheiro PNE</t>
  </si>
  <si>
    <t>7.6</t>
  </si>
  <si>
    <t>TORNEIRA DE MESA PARA PIA DIÂMETRO DE 1/2" - BICA MÓVEL</t>
  </si>
  <si>
    <t>Sala 5</t>
  </si>
  <si>
    <t>Sala 6</t>
  </si>
  <si>
    <t>Sala 7</t>
  </si>
  <si>
    <t>Lactário</t>
  </si>
  <si>
    <t>Fraldário berç. 1</t>
  </si>
  <si>
    <t>Fraldário berç. 2</t>
  </si>
  <si>
    <t>7.7</t>
  </si>
  <si>
    <t>LIGAÇÃO FLEXÍVEL PVC DIAM.1/2" (ENGATE)</t>
  </si>
  <si>
    <t>7.8</t>
  </si>
  <si>
    <t>SIFAO P/LAVATORIO PVC DIAM.1"X1.1/2"</t>
  </si>
  <si>
    <t>7.9</t>
  </si>
  <si>
    <t>SIFÃO PVC P/PIA 1.1/2" X 2"</t>
  </si>
  <si>
    <t>7.10</t>
  </si>
  <si>
    <t>PORTA PAPEL HIGIÊNICO EM METAL/ACABAMENTO CROMADO</t>
  </si>
  <si>
    <t>7.11</t>
  </si>
  <si>
    <t>CABIDE TIPO GANCHO EM LOUÇA</t>
  </si>
  <si>
    <t>7.12</t>
  </si>
  <si>
    <t>SINAPI 95547</t>
  </si>
  <si>
    <t>SABONETEIRA PLÁSTICA TIPO DISPENSER PARA SABONETE LÍQUIDO COM RESERVATÓRIO UN 800 A 1500 ML, INCLUSO FIXAÇÃO</t>
  </si>
  <si>
    <t>7.13</t>
  </si>
  <si>
    <t>CUBA INOX 56X34X17CM E=0,6MM-AÇO 304 (CUBA Nº2)</t>
  </si>
  <si>
    <t>Fraldário Berç. 1</t>
  </si>
  <si>
    <t>Fraldário Berç.2</t>
  </si>
  <si>
    <t>7.14</t>
  </si>
  <si>
    <t>CUBA INOX 35X40X15CM E=0,6MM-AÇO 304 (CUBA Nº 3)</t>
  </si>
  <si>
    <t>7.15</t>
  </si>
  <si>
    <t xml:space="preserve">TANQUE (PANELAO) INOX 60 X 70 X 40 CM CH.18 </t>
  </si>
  <si>
    <t>7.16</t>
  </si>
  <si>
    <t>TANQUE MÁRMORE/GRANITO SINTÉTICO C/UMA CUBA E 1 BATEDOR</t>
  </si>
  <si>
    <t>7.17</t>
  </si>
  <si>
    <t>TANQUE MÁRMORE/GRANITO SINTÉTICO / 1 BATEDOR</t>
  </si>
  <si>
    <t>7.18</t>
  </si>
  <si>
    <t>VÁLVULA P/PIA TIPO AMERICANA DIAM.3.1/2" (METAL)</t>
  </si>
  <si>
    <t>7.19</t>
  </si>
  <si>
    <t>ANEL DE VEDAÇÃO PARA VASO SANITÁRIO</t>
  </si>
  <si>
    <t>7.20</t>
  </si>
  <si>
    <t>CONJUNTO DE FIXAÇÃO P/VASO SANITÁRIO (PAR)</t>
  </si>
  <si>
    <t>7.21</t>
  </si>
  <si>
    <t>TUBO SOLDÁVEL PVC MARROM DIÂM.(75 mm)</t>
  </si>
  <si>
    <t xml:space="preserve">Vide projeto hidráulico </t>
  </si>
  <si>
    <t>7.22</t>
  </si>
  <si>
    <t>TUBO SOLDÁVEL PVC MARROM DIAMETRO 50 mm</t>
  </si>
  <si>
    <t>7.23</t>
  </si>
  <si>
    <t>TUBO SOLDÁVEL PVC MARROM DIÂMETRO 32 mm</t>
  </si>
  <si>
    <t>7.24</t>
  </si>
  <si>
    <t>REGISTRO DE GAVETA C/CANOPLA DIÂMETRO 3/4"</t>
  </si>
  <si>
    <t>7.25</t>
  </si>
  <si>
    <t>REGISTRO DE PRESSÃO C/CANOPLA CROMADA DIÂM.3/4"</t>
  </si>
  <si>
    <t>7.26</t>
  </si>
  <si>
    <t>REGISTRO DE GAVETA BRUTO DIÂMETRO 1.1/2"</t>
  </si>
  <si>
    <t>Caixa d´água</t>
  </si>
  <si>
    <t>7.27</t>
  </si>
  <si>
    <t>JOELHO 90 GRAUS DIÂMETRO 75 MM</t>
  </si>
  <si>
    <t>7.28</t>
  </si>
  <si>
    <t>JOELHO 90 GRAUS DIÂMETRO 32 MM</t>
  </si>
  <si>
    <t>7.29</t>
  </si>
  <si>
    <t>COMPOSIÇÃO 17</t>
  </si>
  <si>
    <t>TE REDUÇÃO 90 GRAUS SOLDÁVEL 75 X 50 mm</t>
  </si>
  <si>
    <t>7.30</t>
  </si>
  <si>
    <t>COMPOSIÇÃO 12</t>
  </si>
  <si>
    <t>BUCHA REDUÇÃO 90º SOLDÁVEL 50 mm X 32 mm</t>
  </si>
  <si>
    <t>7.31</t>
  </si>
  <si>
    <t>TE 90 GRAUS SOLDÁVEL DIÂMETRO 50 mm</t>
  </si>
  <si>
    <t>7.32</t>
  </si>
  <si>
    <t>JOELHO 90 GRAUS SOLDÁVEL DIÂMETRO 32 MM</t>
  </si>
  <si>
    <t>7.33</t>
  </si>
  <si>
    <t>TE 90 GRAUS SOLDÁVEL DIÂMETRO 32 mm</t>
  </si>
  <si>
    <t>7.34</t>
  </si>
  <si>
    <t>JOELHO 90 GRAUS SOLDÁVEL DIÂMETRO 50 MM</t>
  </si>
  <si>
    <t>7.35</t>
  </si>
  <si>
    <t>SINAPI 89386</t>
  </si>
  <si>
    <t>LUVA PVC SOLDÁVEL 32MM</t>
  </si>
  <si>
    <t>7.36</t>
  </si>
  <si>
    <t>COMPOSIÇÃO 9</t>
  </si>
  <si>
    <t>DUCHA HIGIÊNICA</t>
  </si>
  <si>
    <t>7.37</t>
  </si>
  <si>
    <t>LAVATÓRIO LOUÇA BRANCA SUSPENSO, 29,5 X 39CM OU EQUIVALENTE, PADRÃO POPULAR</t>
  </si>
  <si>
    <t xml:space="preserve">ESGOTO SANITÁRIO </t>
  </si>
  <si>
    <t>7.38</t>
  </si>
  <si>
    <t>CAP PVC SOLDÁVEL DIÂMETRO 75 mm</t>
  </si>
  <si>
    <t>7.39</t>
  </si>
  <si>
    <t>TUBO SOLD.P/ESGOTO DIÂM. 40 MM</t>
  </si>
  <si>
    <t>7.40</t>
  </si>
  <si>
    <t>TUBO SOLD. P/ESGOTO DIÂM. 50 MM</t>
  </si>
  <si>
    <t>7.41</t>
  </si>
  <si>
    <t>TUBO SOLDÁVEL P/ESGOTO DIÂM. 100 MM</t>
  </si>
  <si>
    <t>7.42</t>
  </si>
  <si>
    <t>CAIXA DE PASSAGEM 60 X 60 CM SEM TAMPA</t>
  </si>
  <si>
    <t>7.43</t>
  </si>
  <si>
    <t>TAMPA EM CONCRETO ARMADO 25 MPA E=5CM PARA A CAIXA DE PASSAGEM 60X60CM</t>
  </si>
  <si>
    <t>7.44</t>
  </si>
  <si>
    <t>CAIXA DE GORDURA E INSPEÇÃO EM PVC/ABS 19 LITROS COM TAMPA E PORTA TAMPA E CESTO DE LIMPEZA REMOVÍVEL</t>
  </si>
  <si>
    <t>7.45</t>
  </si>
  <si>
    <t>JOELHO 90 GRAUS DIÂMETRO 40 MM</t>
  </si>
  <si>
    <t>7.46</t>
  </si>
  <si>
    <t>TE 90 GRAUS DIÂMETRO 40 MM - ESGOTO</t>
  </si>
  <si>
    <t>7.47</t>
  </si>
  <si>
    <t>CORPO CX. SIFONADA DIÂM. 100 X 100 X 50</t>
  </si>
  <si>
    <t>7.48</t>
  </si>
  <si>
    <t>REDUÇÃO EXCÊNTRICA 100 X 50 MM</t>
  </si>
  <si>
    <t>7.49</t>
  </si>
  <si>
    <t>BUCHA DE REDUÇÃO LONGA DIÂM. 50 X 40 MM</t>
  </si>
  <si>
    <t>7.50</t>
  </si>
  <si>
    <t>CURVA 45 GRAUS DIÂMETRO 40 MM</t>
  </si>
  <si>
    <t>7.51</t>
  </si>
  <si>
    <t>CURVA 45 GRAUS DIÂMETRO 100 MM</t>
  </si>
  <si>
    <t>7.52</t>
  </si>
  <si>
    <t>JOELHO 45 GRAUS DIÂMETRO 50 MM</t>
  </si>
  <si>
    <t>7.53</t>
  </si>
  <si>
    <t>JOELHO 90 GRAUS DIÂMETRO 100 MM</t>
  </si>
  <si>
    <t>7.54</t>
  </si>
  <si>
    <t>JUNÇÃO SIMPLES DIÂM. 100 X 50 MM</t>
  </si>
  <si>
    <t>7.55</t>
  </si>
  <si>
    <t>JUNÇÃO SIMPLES DIÂM. 100 X 100 MM</t>
  </si>
  <si>
    <t>7.56</t>
  </si>
  <si>
    <t>JOELHO 90 GRAUS DIÂMETRO 50 MM</t>
  </si>
  <si>
    <t>7.57</t>
  </si>
  <si>
    <t>TE SANITÁRIO DIÂMETRO 100 X 50 MM</t>
  </si>
  <si>
    <t>7.58</t>
  </si>
  <si>
    <t>COMPOSIÇÃO 8</t>
  </si>
  <si>
    <t>VASO SANITÁRIO INFANTIL COM CAIXA ACOPLADA</t>
  </si>
  <si>
    <t>7.59</t>
  </si>
  <si>
    <t>PARANÁ 95471</t>
  </si>
  <si>
    <t>BACIA SANITÁRIA PARA CADEIRANTES C/ ASSENTO (ABERTURA FRONTAL)</t>
  </si>
  <si>
    <t>7.60</t>
  </si>
  <si>
    <t>COMPOSIÇÃO 11</t>
  </si>
  <si>
    <t>CAIXA COM GRELHA RETANGULAR DE FERRO FUNDIDO, DIMENSÕES INTERNAS: 0,15 X 1,00 X 0,3 M, INCLUSO CANALETA</t>
  </si>
  <si>
    <t>7.61</t>
  </si>
  <si>
    <t>CAIXA DE INSPEÇÃO - TAMPA EM CONCRETO ARMADO 25 MPA E=5CM</t>
  </si>
  <si>
    <t>Fossa 1</t>
  </si>
  <si>
    <t>Fossa 2</t>
  </si>
  <si>
    <t>Fossa 3</t>
  </si>
  <si>
    <t>7.62</t>
  </si>
  <si>
    <t>SINAPI 92105</t>
  </si>
  <si>
    <t>CAMINHÃO PARA EQUIPAMENTO DE LIMPEZA A SUCÇÃO COM CAMINHÃO TRUCADO DE PESO H BRUTO TOTAL 23000 KG, CARGA ÚTIL MÁX. 15935 KG, DISTÂNCIA ENTRE EIXOS 4,80 M, POTÊNCIA 230 CV, INCLUSIVE LIMPADORA A SUCÇÃO, TANQUE 12000 L - MATERIAIS NA OPERAÇÃO</t>
  </si>
  <si>
    <t>c</t>
  </si>
  <si>
    <t>COLETADO</t>
  </si>
  <si>
    <t>Vide projeto de aguas pluviais</t>
  </si>
  <si>
    <t>7.63</t>
  </si>
  <si>
    <t>SINAPI 89590</t>
  </si>
  <si>
    <t>VASO SANITÁRIO SIFONADO COM CAIXA ACOPLADA LOUÇA BRANCA</t>
  </si>
  <si>
    <t>7.64</t>
  </si>
  <si>
    <t>ÁGUA PLUVIAL</t>
  </si>
  <si>
    <t>7.65</t>
  </si>
  <si>
    <t>COMPOSIÇÃO 1</t>
  </si>
  <si>
    <t>RALO ABACAXI 100 MM 4''</t>
  </si>
  <si>
    <t>Vide projeto de águas pluviais</t>
  </si>
  <si>
    <t>7.66</t>
  </si>
  <si>
    <t>7.67</t>
  </si>
  <si>
    <t>TE SANITÁRIO DIÂMETRO 100 X 100 MM</t>
  </si>
  <si>
    <t>7.68</t>
  </si>
  <si>
    <t>LUVA SIMPLES DIÂM. 100 MM</t>
  </si>
  <si>
    <t>7.69</t>
  </si>
  <si>
    <t>COMPOSIÇÃO 13</t>
  </si>
  <si>
    <t>RALO ABACAXI 200 MM 8''</t>
  </si>
  <si>
    <t>7.70</t>
  </si>
  <si>
    <t>COMPOSIÇÃO 14</t>
  </si>
  <si>
    <t>TE DE REDUÇÃO 90 GRAUS SOLDÁVEL  200X200 MM</t>
  </si>
  <si>
    <t>7.71</t>
  </si>
  <si>
    <t>COMPOSIÇÃO 15</t>
  </si>
  <si>
    <t>JOELHO 90° PVC 200MM</t>
  </si>
  <si>
    <t>7.72</t>
  </si>
  <si>
    <t>COMPOSIÇÃO 16</t>
  </si>
  <si>
    <t>LUVA SIMPLES DIÂM. 200MM</t>
  </si>
  <si>
    <t>7.73</t>
  </si>
  <si>
    <t>TUBO LEVE PVC RIGIDO DIAMETRO 200 MM</t>
  </si>
  <si>
    <t>7.74</t>
  </si>
  <si>
    <t>TUBO LEVE PVC RIGIDO DIAMETRO 150 MM</t>
  </si>
  <si>
    <t>7.75</t>
  </si>
  <si>
    <t>JOELHO 90 GRAUS, PVC, SERIE R, ÁGUA PLUVIAL, DN 150 MM, JUNTA ELÁSTICA, FORNECIDO E INSTALADO EM CONDUTORES VERTICAIS DE ÁGUAS PLUVIAIS</t>
  </si>
  <si>
    <t>INCÊNDIO</t>
  </si>
  <si>
    <t>7.76</t>
  </si>
  <si>
    <t>EXTINTOR CO2 (6 KG) - CAPACIDADE EXTINTORA 5 BC</t>
  </si>
  <si>
    <t>Vide projeto de combate a incêndio</t>
  </si>
  <si>
    <t>7.77</t>
  </si>
  <si>
    <t>EXTINTOR PÓ QUÍMICO SECO (6 KG) - CAPACIDADE EXTINTORA 20 BC</t>
  </si>
  <si>
    <t>7.78</t>
  </si>
  <si>
    <t>COMPOSIÇÃO 3</t>
  </si>
  <si>
    <t>PLACA DE SINALIZAÇÃO - 13X26 CM - LETREIRO SAÍDA</t>
  </si>
  <si>
    <t>7.79</t>
  </si>
  <si>
    <t>COMPOSIÇÃO 4</t>
  </si>
  <si>
    <t>PLACA DE SINALIZAÇÃO - 13X26 CM - SAÍDA SETA DIREITA</t>
  </si>
  <si>
    <t>7.80</t>
  </si>
  <si>
    <t>COMPOSIÇÃO 5</t>
  </si>
  <si>
    <t>PLACA DE SINALIZAÇÃO - 13X26 CM - SAÍDA SETA ESQUERDA</t>
  </si>
  <si>
    <t>7.81</t>
  </si>
  <si>
    <t>COMPOSIÇÃO 6</t>
  </si>
  <si>
    <t>PLACA DE SINALIZAÇÃO - 20X20 CM - EXTINTOR</t>
  </si>
  <si>
    <t>GRUPO DE SERVIÇO: 171 - INSTALAÇÕES ESPECIAIS</t>
  </si>
  <si>
    <t>090000</t>
  </si>
  <si>
    <t>INSTALAÇÕES ESPECIAIS</t>
  </si>
  <si>
    <t>8.1</t>
  </si>
  <si>
    <t>CENTRAL DE GÁS PADRÃO GOINFRA/2019 COMPLETA, EXCLUSO AS INSTALAÇÕES MECÂNICAS (1+1 CILINDRO P-45)</t>
  </si>
  <si>
    <t>Vide projeto de GLP</t>
  </si>
  <si>
    <t>8.2</t>
  </si>
  <si>
    <t>TUBO DE AÇO GALVANIZADO 3/4" SCHEDULE 40, ROSCA NPT - NBR 5590</t>
  </si>
  <si>
    <t>8.3</t>
  </si>
  <si>
    <t>COTOVELO 90º FERRO MALEÁVEL GALVANIZADO 3/4" CLASSE 150 ROSCA NPT NBR 6925</t>
  </si>
  <si>
    <t>8.4</t>
  </si>
  <si>
    <t>TE DE FERRO MALEÁVEL GALVANIZADO 3/4" CLASSE 150 ROSCA NPT NBR 6925</t>
  </si>
  <si>
    <t>8.5</t>
  </si>
  <si>
    <t>LUVA REDUÇÃO DE FERRO MALEÁVEL GALVANIZADO 3/4" X 1/2", CLASSE 150, ROSCA NPT - NBR 6925</t>
  </si>
  <si>
    <t>8.6</t>
  </si>
  <si>
    <t>VÁLVULA DE ESFERA TRIPARTIDA 3/4", PASSAGEM PLENA, ROSCA NPT, CLASSE 300 - NORMA ASME B16.34</t>
  </si>
  <si>
    <t>8.7</t>
  </si>
  <si>
    <t>VÁLVULA DE RETENÇÃO EM LATÃO 7/16" NS (I) X 1/2" NPT (E)</t>
  </si>
  <si>
    <t>8.8</t>
  </si>
  <si>
    <t>CHICOTE "PIGTAIL" FLEXÍVEL PARA P-45 DE MANGUEIRA NITRÍLICA COM COMPRIMENTO DE 500 MM E ROSCA DAS CONEXÕES DE 7/8" R.E. X 7/16"NS OU M20 X 7/16" NS - NBR 13419</t>
  </si>
  <si>
    <t>8.9</t>
  </si>
  <si>
    <t>SUPORTE "L" , EM FERRO CHATO 1/8" X 1" PINTADO (42CM) PARA TUBO DE AÇO GALVANIZADO 3/4" - INCLUSO ABRAÇADEIRA TIPO "U" 3/4"/PARAFUSOS/PORCAS/ ARRUELAS, BEM COMO A FIXAÇÃO NA PAREDE COM BUCHAS/PARAFUSOS.</t>
  </si>
  <si>
    <t>8.10</t>
  </si>
  <si>
    <t>PLACA DE SINALIZAÇÃO EM ALUMÍNIO 35 X 25 CM - "PERIGO - GÁS INFLAMÁVEL - PROIBIDO FUMAR</t>
  </si>
  <si>
    <t>8.11</t>
  </si>
  <si>
    <t>REGULADOR DE PRESSÃO PRIMEIRO ESTÁGIO, 8 KG/H, REGULÁVEL COM MANÔMETRO, PRESSÃO DE ENTRADA 2 A 18 BAR E PRESSÃO DE SAÍDA 0,5 A 2 BAR, CONEXÕES DE ENTRADA E SAÍDA 1/4" NPT</t>
  </si>
  <si>
    <t xml:space="preserve">GRUPO DE SERVIÇO: 172 - ALVENARIA E DIVISÓRIA </t>
  </si>
  <si>
    <t>ALVENARIA E DIVISÓRIA</t>
  </si>
  <si>
    <t>9.1</t>
  </si>
  <si>
    <t>ALVENARIA DE TIJOLO FURADO 1/2 VEZ 14X29X9 - 6 FUROS - ARG. (1CALH:4ARML+100KG DE CI/M3)</t>
  </si>
  <si>
    <t>Cozinha/Circulação</t>
  </si>
  <si>
    <t>Vest. Fem.</t>
  </si>
  <si>
    <t>Vest. Masc.</t>
  </si>
  <si>
    <t>Despensa</t>
  </si>
  <si>
    <t xml:space="preserve">DML </t>
  </si>
  <si>
    <t>Muretas dos solários</t>
  </si>
  <si>
    <t>Platibanda</t>
  </si>
  <si>
    <t>Central de Gás</t>
  </si>
  <si>
    <t>Descontos portão (P8)</t>
  </si>
  <si>
    <t>Descontos Portas em geral</t>
  </si>
  <si>
    <t>Descontos Janelas em geral</t>
  </si>
  <si>
    <t>ARRS</t>
  </si>
  <si>
    <t>Paredes</t>
  </si>
  <si>
    <t xml:space="preserve">   Desconto Vão de grade (P12)</t>
  </si>
  <si>
    <t xml:space="preserve">   Desconto de cobogós</t>
  </si>
  <si>
    <t>TANQUE DE ALVENARIA COZINHA</t>
  </si>
  <si>
    <t>Frente</t>
  </si>
  <si>
    <t>Lateral</t>
  </si>
  <si>
    <t>9.2</t>
  </si>
  <si>
    <t>DIVISÓRIA DE GRANITO POLIDO</t>
  </si>
  <si>
    <t xml:space="preserve">W.C. Masculino </t>
  </si>
  <si>
    <t xml:space="preserve">  Divisória 1</t>
  </si>
  <si>
    <t xml:space="preserve">  Divisória 2</t>
  </si>
  <si>
    <t xml:space="preserve">  Divsória 3</t>
  </si>
  <si>
    <t>W.C. Feminino</t>
  </si>
  <si>
    <t>9.3</t>
  </si>
  <si>
    <t>ELEMENTO VAZADO CERÂMICO (6 x 18 x 18)</t>
  </si>
  <si>
    <t>GRUPO DE SERVIÇO: 174 - IMPERMEABILIZAÇÃO</t>
  </si>
  <si>
    <t>IMPERMEABILIZAÇÃO</t>
  </si>
  <si>
    <t>10.1</t>
  </si>
  <si>
    <t>IMPERMEABILIZAÇÃO-ARGAM. SINT.SEMI - FLEXÍVEL</t>
  </si>
  <si>
    <t xml:space="preserve">Laje 11 parte interna </t>
  </si>
  <si>
    <t xml:space="preserve">Laje 06 parte interna </t>
  </si>
  <si>
    <t>Vest. Mas</t>
  </si>
  <si>
    <t>Laje 05 parte interna</t>
  </si>
  <si>
    <t>Vest. Fem</t>
  </si>
  <si>
    <t xml:space="preserve">Laje 08 parte interna </t>
  </si>
  <si>
    <t>Laje 09 parte interna</t>
  </si>
  <si>
    <t xml:space="preserve">Despensa </t>
  </si>
  <si>
    <t>Laje 10 parte interna</t>
  </si>
  <si>
    <t>Laje 07 parte interna</t>
  </si>
  <si>
    <t>Laje 04 parte interna</t>
  </si>
  <si>
    <t>Laje 03 parte interna</t>
  </si>
  <si>
    <t>Laje 02 parte interna</t>
  </si>
  <si>
    <t>Laje 01 parte interna</t>
  </si>
  <si>
    <t xml:space="preserve">Sala 5 </t>
  </si>
  <si>
    <t>Laje existente parte interna</t>
  </si>
  <si>
    <t xml:space="preserve"> Fraldário Berç. 1</t>
  </si>
  <si>
    <t>Laje A.R.R.S</t>
  </si>
  <si>
    <t>Laje interna</t>
  </si>
  <si>
    <t>Laje Central de Gás</t>
  </si>
  <si>
    <t>Alvenarias</t>
  </si>
  <si>
    <t>Rodapé</t>
  </si>
  <si>
    <t>Contrapiso</t>
  </si>
  <si>
    <t xml:space="preserve">Paredes </t>
  </si>
  <si>
    <t>10.2</t>
  </si>
  <si>
    <t>MANTA ASFÁLTICA TIPO III - B ( 3 MM)</t>
  </si>
  <si>
    <t>Laje 04 parte externa</t>
  </si>
  <si>
    <t>Laje 03 parte externa</t>
  </si>
  <si>
    <t>Laje 02 parte externa</t>
  </si>
  <si>
    <t>Laje 01 parte externa</t>
  </si>
  <si>
    <t>Laje existente parte externa</t>
  </si>
  <si>
    <t>Fraldário / Berçário 1</t>
  </si>
  <si>
    <t>Baldrames</t>
  </si>
  <si>
    <t>Baldrame Cozinha/Corredor</t>
  </si>
  <si>
    <t>Baldrame Lactário</t>
  </si>
  <si>
    <t>Baldrame Vest. Fem.</t>
  </si>
  <si>
    <t>Baldrame Vest. Masc.</t>
  </si>
  <si>
    <t xml:space="preserve">Baldrame DML </t>
  </si>
  <si>
    <t>Baldrame Despensa</t>
  </si>
  <si>
    <t>Baldrame A.R.R.S</t>
  </si>
  <si>
    <t>Baldrame Lavanderia</t>
  </si>
  <si>
    <t>Baldrame Gás</t>
  </si>
  <si>
    <t>10.3</t>
  </si>
  <si>
    <t>SINAPI 98561</t>
  </si>
  <si>
    <t>IMPERMEABILIZAÇÃO DE PAREDES COM ARGAMASSA DE CIMENTO E AREIA, COM ADITIVO  IMPERMEABILIZANTE, E = 2CM</t>
  </si>
  <si>
    <t>Fraldário Berç. 1 e 2</t>
  </si>
  <si>
    <t>Platibandas</t>
  </si>
  <si>
    <t xml:space="preserve"> Descontos Portas geral</t>
  </si>
  <si>
    <t xml:space="preserve"> Descontos Janelas geral</t>
  </si>
  <si>
    <t>GRUPO DE SERVIÇO: 176 - ESTRUTURA DE MADEIRAS</t>
  </si>
  <si>
    <t>ESTRUTURA DE MADEIRA</t>
  </si>
  <si>
    <t>11.1</t>
  </si>
  <si>
    <t>ESTRUTURA TELHA CERÂMICA V3 7 M  C/FERRAGENS</t>
  </si>
  <si>
    <t>Corredor 1</t>
  </si>
  <si>
    <t>Corredor 2</t>
  </si>
  <si>
    <t>Corredor 3</t>
  </si>
  <si>
    <t>11.2</t>
  </si>
  <si>
    <t>ESTRUT. TELHA DE FIBROCIMENTO (C/TESOURA) C/FERRAGENS</t>
  </si>
  <si>
    <t>Cobertura Cozinha</t>
  </si>
  <si>
    <t>Cobertura Sala 1 e Sala 2</t>
  </si>
  <si>
    <t>Cobertura Sala 3 e Sala 4</t>
  </si>
  <si>
    <t>11.3</t>
  </si>
  <si>
    <t>SINAPI 100384</t>
  </si>
  <si>
    <t>FABRICAÇÃO E INSTALAÇÃO DE PONTALETES DE MADEIRA NÃO APARELHADA PARA TELHADOS COM ATÉ 2 ÁGUAS E COM TELHA ONDULADA DE FIBROCIMENTO, ALUMÍNIO OU PLÁSTICA EM EDIFÍCIO INSTITUCIONAL TÉRREO, INCLUSO TRANSPORTE VERTICAL</t>
  </si>
  <si>
    <t>GRUPO DE SERVIÇO: 178 - COBERTURA</t>
  </si>
  <si>
    <t>COBERTURAS</t>
  </si>
  <si>
    <t>12.1</t>
  </si>
  <si>
    <t>COBERTURA COM TELHA TELHA PLAN RESINADA COR VERMELHA ( INCLUINDO A TRASPARENTE)</t>
  </si>
  <si>
    <t>12.2</t>
  </si>
  <si>
    <t>COBERTURA COM TELHA ONDULADA OU EQUIV. (FIBROCIMENTO)</t>
  </si>
  <si>
    <t>12.3</t>
  </si>
  <si>
    <t>SINAPI 94228</t>
  </si>
  <si>
    <t>CALHA EM CHAPA DE AÇO GALVANIZADO NÚMERO 24, DESENVOLVIMENTO DE 50 CM, INCLUSO TRANSPORTE VERTICAL.</t>
  </si>
  <si>
    <t>Calha 01</t>
  </si>
  <si>
    <t>Calha 02</t>
  </si>
  <si>
    <t>Calha 03</t>
  </si>
  <si>
    <t>Calha 04</t>
  </si>
  <si>
    <t>Calha 05</t>
  </si>
  <si>
    <t>Calha salas 1 e 2 e banheiros</t>
  </si>
  <si>
    <t>Calha salas 3 até  5 e banheiros</t>
  </si>
  <si>
    <t>Condutores Vertiacais (água pluvial)</t>
  </si>
  <si>
    <t>12.4</t>
  </si>
  <si>
    <t>RUFO DE CHAPA GALVANIZADA</t>
  </si>
  <si>
    <t>Rufos geral</t>
  </si>
  <si>
    <t>Muro Refeitório</t>
  </si>
  <si>
    <t>Muro Fundo</t>
  </si>
  <si>
    <t>Muro Rua de cima</t>
  </si>
  <si>
    <t>12.5</t>
  </si>
  <si>
    <t>COBERTURA COM TELHA FIBERGLASS COM VÉU PROTEÇÃO 1,5 MM COM ACESSÓRIOS</t>
  </si>
  <si>
    <t>Cobertura da entrada</t>
  </si>
  <si>
    <t>GRUPO DE SERVIÇO: 179 - ESQUADRIAS DE MADEIRAS</t>
  </si>
  <si>
    <t>ESQUADRIA DE MADEIRA</t>
  </si>
  <si>
    <t>13.1</t>
  </si>
  <si>
    <t>PORTA LISA 70x210 C/PORTAL E ALISAR S/FERRAGENS, CONFORME PROJETO ARQ.</t>
  </si>
  <si>
    <t> </t>
  </si>
  <si>
    <t>Vestiário Fem.</t>
  </si>
  <si>
    <t>Vestiário Masc.</t>
  </si>
  <si>
    <t>13.2</t>
  </si>
  <si>
    <t>PORTA LISA 80x210 C/PORTAL E ALISAR S/FERRAGENS, CONFORME PROJETO ARQ.</t>
  </si>
  <si>
    <t>13.3</t>
  </si>
  <si>
    <t>PORTA LISA 90x210 C/PORTAL E ALISAR S/FERRAGENS, CONFORME PROJETO ARQ.</t>
  </si>
  <si>
    <t>13.4</t>
  </si>
  <si>
    <t>PORTA LISA 100x210 COM PORTAL E ALISAR S/FERRAGENS, CONFORME PROJETO ARQ.</t>
  </si>
  <si>
    <t>Circulação / Cozinha</t>
  </si>
  <si>
    <t>GRUPO DE SERVIÇO: 180 - ESQUADRIAS METÁLICAS</t>
  </si>
  <si>
    <t>ESQUADRIAS METÁLICAS</t>
  </si>
  <si>
    <t>14.1</t>
  </si>
  <si>
    <t>SINAPI 94570</t>
  </si>
  <si>
    <t>JANELA DE ALUMÍNIO DE CORRER COM 2 FOLHAS PARA VIDROS, COM VIDROS, BATENTE ACABAMENTO COM ACETATO OU BRILHANTE E FERRAGENS</t>
  </si>
  <si>
    <t xml:space="preserve">   3 janelas J1</t>
  </si>
  <si>
    <t xml:space="preserve">   1 janela J1</t>
  </si>
  <si>
    <t xml:space="preserve">   2 janelas J2</t>
  </si>
  <si>
    <t xml:space="preserve">   1 Janela J1</t>
  </si>
  <si>
    <t xml:space="preserve">   2 Janelas J2</t>
  </si>
  <si>
    <t xml:space="preserve">   1 Janela J4</t>
  </si>
  <si>
    <t xml:space="preserve">   1 Janela J8</t>
  </si>
  <si>
    <t>Despesa</t>
  </si>
  <si>
    <t xml:space="preserve">   1 Janela J6</t>
  </si>
  <si>
    <t xml:space="preserve">   2 Janelas JA10</t>
  </si>
  <si>
    <t xml:space="preserve">   1 Janela JA7</t>
  </si>
  <si>
    <t xml:space="preserve">   2 Janelas JA6</t>
  </si>
  <si>
    <t>Fraldário Berç. 2</t>
  </si>
  <si>
    <t xml:space="preserve">   1 Janela J2</t>
  </si>
  <si>
    <t>14.2</t>
  </si>
  <si>
    <t>SINAPI 94569</t>
  </si>
  <si>
    <t xml:space="preserve">JANELA DE ALUMÍNIO TIPO MAXIM-AR, COM VIDROS, BATENTE E FERRAGENS. </t>
  </si>
  <si>
    <t>WC Masculino</t>
  </si>
  <si>
    <t xml:space="preserve">   1 Janela J5</t>
  </si>
  <si>
    <t>WC Feminino</t>
  </si>
  <si>
    <t>14.3</t>
  </si>
  <si>
    <t>PORTÃO DE ABRIR CHAPA 14 PT-4 C/FERRAGENS</t>
  </si>
  <si>
    <t>14.4</t>
  </si>
  <si>
    <t>PORTA DE ABRIR ALUMÍNIO NATURAL EM VENEZIANA C/FERRAGENS (M.O.FAB.INC.MAT.)</t>
  </si>
  <si>
    <t>Informática</t>
  </si>
  <si>
    <t>14.5</t>
  </si>
  <si>
    <t>PORTA DE CORRER 4 FOLHAS PF-6 C/ FERRAGENS C/ PUXADOR</t>
  </si>
  <si>
    <t>Secretaria</t>
  </si>
  <si>
    <t>14.6</t>
  </si>
  <si>
    <t>PORTÃO DE ENROLAR C/FERRAGENS</t>
  </si>
  <si>
    <t>Guichês da cozinha ( 2 und)</t>
  </si>
  <si>
    <t>14.7</t>
  </si>
  <si>
    <t>PORTÃO DE TELA E CANO GALVANIZ. PT 9 C/ FERRAGENS</t>
  </si>
  <si>
    <t>Central de gás</t>
  </si>
  <si>
    <t>Circulação</t>
  </si>
  <si>
    <t>14.8</t>
  </si>
  <si>
    <t>GRADE DE PROTEÇÃO/TUBO INDUSTRIAL/FERRO REDONDO – GP5</t>
  </si>
  <si>
    <t>Multimeios 4 J1</t>
  </si>
  <si>
    <t>Informática 4 J1</t>
  </si>
  <si>
    <t>Cozinha 1 J1</t>
  </si>
  <si>
    <t>14.9</t>
  </si>
  <si>
    <t>PORTÃO DE CORRER E ABRIR CONJUGADO PT-8 C/FERRAGENS</t>
  </si>
  <si>
    <t>Portão de entrada lateral / lavanderia</t>
  </si>
  <si>
    <t>14.10</t>
  </si>
  <si>
    <t>COMP. 18</t>
  </si>
  <si>
    <t>BRISE SOLEIL DE METALON/CHAPA VENEZIANA 1,60x1,60M</t>
  </si>
  <si>
    <t xml:space="preserve">Cobertura </t>
  </si>
  <si>
    <t>GRUPO DE SERVIÇO: 182 - REVESTIMENTO DE PAREDES</t>
  </si>
  <si>
    <t>REVESTIMENTO DE PAREDE</t>
  </si>
  <si>
    <t>15.1</t>
  </si>
  <si>
    <t>REVESTIMENTO COM CERÂMICA</t>
  </si>
  <si>
    <t xml:space="preserve">    Desconto de vão das janelas (3J1)</t>
  </si>
  <si>
    <t xml:space="preserve">    Desconto de vão de janela (1J2)</t>
  </si>
  <si>
    <t xml:space="preserve">    Desconto de vão de porta (1P7)</t>
  </si>
  <si>
    <t xml:space="preserve">    Desconto de vão de porta (1P11)</t>
  </si>
  <si>
    <t xml:space="preserve">    Desconto de vão das janelas 1(J2 e J4) </t>
  </si>
  <si>
    <t xml:space="preserve">    Desconto de vão de janela (1J5)</t>
  </si>
  <si>
    <t xml:space="preserve">    Desconto de vão de porta (1P2)</t>
  </si>
  <si>
    <t xml:space="preserve">    Desconto de vão de porta (1P3)</t>
  </si>
  <si>
    <t xml:space="preserve">    Desconto de vão de janela (1J8)</t>
  </si>
  <si>
    <t xml:space="preserve">    Desconto de vão de porta (2P2)</t>
  </si>
  <si>
    <t xml:space="preserve">    Desconto de vão de porta (1PM 7)</t>
  </si>
  <si>
    <t xml:space="preserve">    Desconto de vão de porta (1PM 7 )</t>
  </si>
  <si>
    <t xml:space="preserve">    Desconto de vão de janela (1J1)</t>
  </si>
  <si>
    <t xml:space="preserve">    Desconto de vão de porta (1PV 9)</t>
  </si>
  <si>
    <t xml:space="preserve">    Desconto de vão das janelas (2J2)</t>
  </si>
  <si>
    <t xml:space="preserve">    Desconto de vão de porta (1PM7)</t>
  </si>
  <si>
    <t xml:space="preserve">    Desconto de vão de porta (vão s/ porta)</t>
  </si>
  <si>
    <t>Lado</t>
  </si>
  <si>
    <t>15.2</t>
  </si>
  <si>
    <t>CHAPISCO COMUM</t>
  </si>
  <si>
    <t xml:space="preserve">    Desconto de vão de porta (1P3) </t>
  </si>
  <si>
    <t xml:space="preserve">    Desconto de vão de porta (1P7 )</t>
  </si>
  <si>
    <t xml:space="preserve">    Desconto de vão de porta (1P9)</t>
  </si>
  <si>
    <t xml:space="preserve">Fraldário Berç.1 </t>
  </si>
  <si>
    <t xml:space="preserve">    Desconto de vão de porta(vão s/ porta)</t>
  </si>
  <si>
    <t>Muros em geral (Reparo de trincas, rachaduras, desplacamentos)</t>
  </si>
  <si>
    <t>15.3</t>
  </si>
  <si>
    <t>EMBOÇO (1CI:4 ARML)</t>
  </si>
  <si>
    <t xml:space="preserve">    Desconto de vão de janelas (1J5)</t>
  </si>
  <si>
    <t xml:space="preserve">    Desconto de vão de janela(1J8)</t>
  </si>
  <si>
    <t>Muros em geral (REPARO DE TRINCAS, RACHADURAS, DESPLACAMENTOS)</t>
  </si>
  <si>
    <t>15.4</t>
  </si>
  <si>
    <t>REBOCO (1 CALH:4 ARFC+100kgCI/M3)</t>
  </si>
  <si>
    <t xml:space="preserve">   Desconto de vão das janelas 1(J2 e J4)</t>
  </si>
  <si>
    <t xml:space="preserve">   Desconto de vão de janela (1J5)</t>
  </si>
  <si>
    <t xml:space="preserve">   Desconto de vão Porta (1P3)</t>
  </si>
  <si>
    <t xml:space="preserve">   Desconto de vão de porta (1P3)</t>
  </si>
  <si>
    <t xml:space="preserve">    Desconto vão das janelas (3J1)</t>
  </si>
  <si>
    <t xml:space="preserve">    Desconto vão de porta (1PM 7)</t>
  </si>
  <si>
    <t xml:space="preserve">    Desconto vão de porta (1PM 7 )</t>
  </si>
  <si>
    <t xml:space="preserve">    Desconto vão de janela (1J1)</t>
  </si>
  <si>
    <t xml:space="preserve">    Desconto vão de porta (1PV 9)</t>
  </si>
  <si>
    <t xml:space="preserve">    Desconto vão das janelas (2J2)</t>
  </si>
  <si>
    <t xml:space="preserve">    Desconto vão de porta (1PM7)</t>
  </si>
  <si>
    <t xml:space="preserve">    Desconto vão de porta(vão s/ porta)</t>
  </si>
  <si>
    <t>Muros em geral (Reparo de trincas, rachaduras, desplacamentos e buracos)</t>
  </si>
  <si>
    <t>15.5</t>
  </si>
  <si>
    <t>MOLDURA TIPO "U" INVERTIDO EM ARGAMASSA COM 2CM DE ESPESSURA TIPO PINGADEIRA EM MURO/PLATIBANDA ( A PARTE VERTICAL DESCE 2,5CM)</t>
  </si>
  <si>
    <t>Platibanda da cozinha/área de serviço/despensa/DML</t>
  </si>
  <si>
    <t>GRUPO DE SERVIÇO: 183 - REVESTIMENTO DE PISO</t>
  </si>
  <si>
    <t>REVESTIMENTO DE PISO</t>
  </si>
  <si>
    <t>16.1</t>
  </si>
  <si>
    <t>PISO EM CONCRETO DESEMPENADO ESPESSURA = 7 CM 1:2,5:3,5</t>
  </si>
  <si>
    <t>Cozinha / Circulação</t>
  </si>
  <si>
    <t>Vest. Mas.</t>
  </si>
  <si>
    <t>A.R.R.S</t>
  </si>
  <si>
    <t>Corredores 1</t>
  </si>
  <si>
    <t>Corredores 2</t>
  </si>
  <si>
    <t>Corredores 3</t>
  </si>
  <si>
    <t>Calçadas 1</t>
  </si>
  <si>
    <t>Calçadas 2</t>
  </si>
  <si>
    <t>Calçadas 3</t>
  </si>
  <si>
    <t>Rodabase da Despensa e Cozinha</t>
  </si>
  <si>
    <t>16.2</t>
  </si>
  <si>
    <t>CERÂMICA ANTIDERRAPANTE PEI MAIOR OU IGUAL A 4 COM CONTRA PISO (1CI:3ARML) E ARGAMASSA COLANTE</t>
  </si>
  <si>
    <t>16.3</t>
  </si>
  <si>
    <t>GRANITINA 8 MM FUNDIDA COM CONTRAPISO (1Cl:3ARML) E = 2 CM E JUNTA PLÁSTICA 27 MM</t>
  </si>
  <si>
    <t>M²</t>
  </si>
  <si>
    <t>Pátio coberto inferior</t>
  </si>
  <si>
    <t>16.4</t>
  </si>
  <si>
    <t>SOLEIRA EM GRANITO IMPERMEABILIZADA COM CONTRAPISO (1CI:3ARML)</t>
  </si>
  <si>
    <t xml:space="preserve">   P7</t>
  </si>
  <si>
    <t xml:space="preserve">   P9</t>
  </si>
  <si>
    <t>16.5</t>
  </si>
  <si>
    <t>RODAPÉ DE CERÂMICA ANTIDERRAPANTE COM ARGAMASSA COLANTE</t>
  </si>
  <si>
    <t xml:space="preserve">  Desconto de vão de porta (2P5)</t>
  </si>
  <si>
    <t xml:space="preserve">  Desconto de vão de porta (1P2)</t>
  </si>
  <si>
    <t xml:space="preserve">  Desconto de vão de porta (2P2)</t>
  </si>
  <si>
    <t xml:space="preserve">  Desconto de vão do portão (1P6)</t>
  </si>
  <si>
    <t xml:space="preserve">  Desconto de vão de porta (1P12)</t>
  </si>
  <si>
    <t xml:space="preserve">  Desconto de vão de portas (portas em geral)</t>
  </si>
  <si>
    <t>16.6</t>
  </si>
  <si>
    <t>RODAPÉ FUNDIDO DE GRANITINA 7CM</t>
  </si>
  <si>
    <t>Pátio coberto existente</t>
  </si>
  <si>
    <t>16.7</t>
  </si>
  <si>
    <t>PISO DE LADRILHO HIDRÁULICO COLORIDO MODELO TÁTIL ( ALERTA OU DIRECIONAL) SEM LASTRO</t>
  </si>
  <si>
    <t>Rampa de entrada</t>
  </si>
  <si>
    <t>Rampa de acesso ao refeitório</t>
  </si>
  <si>
    <t>GRUPO DE SERVIÇO: 184 - FERRAGENS</t>
  </si>
  <si>
    <t>FERRAGENS</t>
  </si>
  <si>
    <t>17.1</t>
  </si>
  <si>
    <t>FECH.(ALAV.) LAFONTE 6236 E/8766- E17 IMAB OU EQUIV</t>
  </si>
  <si>
    <t>17.2</t>
  </si>
  <si>
    <t>DOBRADIÇA 3" x 3 1/2" FERRO POLIDO</t>
  </si>
  <si>
    <t>Portão ARRS</t>
  </si>
  <si>
    <t>Portão Central de Gás</t>
  </si>
  <si>
    <t>17.3</t>
  </si>
  <si>
    <t>BARRA DE APOIO EM AÇO INOX - 80 CM</t>
  </si>
  <si>
    <t>GRUPO DE SERVIÇO: 185 - ADMINISTRAÇÃO - MENSALISTAS</t>
  </si>
  <si>
    <t>ADMINISTRAÇÃO - MENSALISTAS</t>
  </si>
  <si>
    <t>18.1</t>
  </si>
  <si>
    <t>ENGENHEIRO - (OBRAS CIVIS)</t>
  </si>
  <si>
    <t>H</t>
  </si>
  <si>
    <t>TEMPO</t>
  </si>
  <si>
    <t>5 horas por dia</t>
  </si>
  <si>
    <t>h</t>
  </si>
  <si>
    <t>18.2</t>
  </si>
  <si>
    <t>ENCARREGADO - (OBRAS CIVIS)</t>
  </si>
  <si>
    <t>8 horas por dia</t>
  </si>
  <si>
    <t>18.3</t>
  </si>
  <si>
    <t>VIGIA DE OBRAS - (NOTURNO E NO SÁBADO/DOMINGO DIURNO) - O.C.</t>
  </si>
  <si>
    <t>12 horas por dia</t>
  </si>
  <si>
    <t>GRUPO DE SERVIÇO: 186 - PINTURA</t>
  </si>
  <si>
    <t>PINTURA</t>
  </si>
  <si>
    <t>19.1</t>
  </si>
  <si>
    <t>EMASSAMENTO COM MASSA PVA DUAS DEMÃOS</t>
  </si>
  <si>
    <t xml:space="preserve">D.M.L </t>
  </si>
  <si>
    <t>Fraldário / Bercário 1</t>
  </si>
  <si>
    <t>PAREDES</t>
  </si>
  <si>
    <t>Cozinha/Banheiros/Salas/Lavanderia/DML</t>
  </si>
  <si>
    <t xml:space="preserve">    Desconto de vão das janelas 1(J2 e J4 )</t>
  </si>
  <si>
    <t xml:space="preserve">    Desconto de vão das portas (2P2)</t>
  </si>
  <si>
    <t>19.2</t>
  </si>
  <si>
    <t>PINT.ESMALTE SINT.PAREDES - 2 DEM.C/SELADOR</t>
  </si>
  <si>
    <t>Sala dos professores - externo</t>
  </si>
  <si>
    <t>Almoxarifado- externo</t>
  </si>
  <si>
    <t>Coordenação - externo</t>
  </si>
  <si>
    <t xml:space="preserve">   Desconto de vão de porta (1P2)</t>
  </si>
  <si>
    <t>WC Fun. Mas.- externo</t>
  </si>
  <si>
    <t>WC Fun. Fem.- externo</t>
  </si>
  <si>
    <t>Diretoria - externo</t>
  </si>
  <si>
    <t>WC.Diretoria - externo</t>
  </si>
  <si>
    <t>WC.Secretaria - externo</t>
  </si>
  <si>
    <t>Secretaria - externo</t>
  </si>
  <si>
    <t>Recepção - externo</t>
  </si>
  <si>
    <t xml:space="preserve">   Desconto de vão de porta (2P2 e 1P3)</t>
  </si>
  <si>
    <t>Multimeios - externo</t>
  </si>
  <si>
    <t>Maternal 2A - externo</t>
  </si>
  <si>
    <t xml:space="preserve">   Desconto de vão de porta (1P1)</t>
  </si>
  <si>
    <t>Maternal 2B - externo</t>
  </si>
  <si>
    <t xml:space="preserve">   Desconto de vão de porta (2P1)</t>
  </si>
  <si>
    <t xml:space="preserve">WC Maternal 2 - externo </t>
  </si>
  <si>
    <t>Maternal 1A - externo</t>
  </si>
  <si>
    <t>Maternal 1B - externo</t>
  </si>
  <si>
    <t xml:space="preserve">WC Maternal 1 - externo </t>
  </si>
  <si>
    <t xml:space="preserve">Informática - externo </t>
  </si>
  <si>
    <t xml:space="preserve">Sala 7 - externo </t>
  </si>
  <si>
    <t xml:space="preserve">Sala 6 - externo </t>
  </si>
  <si>
    <t xml:space="preserve">   Desconto de vão de porta (1P7)</t>
  </si>
  <si>
    <t xml:space="preserve">Sala 5 - externo </t>
  </si>
  <si>
    <t xml:space="preserve">   Desconto de vão de porta (1P9)</t>
  </si>
  <si>
    <t xml:space="preserve">Sala 4 - externo </t>
  </si>
  <si>
    <t xml:space="preserve">Sala 3 - externo </t>
  </si>
  <si>
    <t xml:space="preserve">Sala 2 - externo </t>
  </si>
  <si>
    <t xml:space="preserve">Sala 1 - externo </t>
  </si>
  <si>
    <t>Fraldário berç. 1 - externo</t>
  </si>
  <si>
    <t>Fraldário berç. 2 - externo</t>
  </si>
  <si>
    <t xml:space="preserve">Sanitário Fem. Infantil - externo </t>
  </si>
  <si>
    <t xml:space="preserve">Sanitário Masc. Infantil - externo </t>
  </si>
  <si>
    <t>Banheiro PNE - externo</t>
  </si>
  <si>
    <t>Cozinha - externo</t>
  </si>
  <si>
    <t xml:space="preserve">   Desconto de vão de porta (1PM7)</t>
  </si>
  <si>
    <t>Lactário - externo</t>
  </si>
  <si>
    <t>Vest. Fem. - externo</t>
  </si>
  <si>
    <t>Vest. Masc. - externo</t>
  </si>
  <si>
    <t>DML - externo</t>
  </si>
  <si>
    <t xml:space="preserve">   Desconto de vão de porta (2P2)</t>
  </si>
  <si>
    <t>Despensa  - externo</t>
  </si>
  <si>
    <t>Central de gás - externo</t>
  </si>
  <si>
    <t>ARRS - externo</t>
  </si>
  <si>
    <t>Pilares - externo</t>
  </si>
  <si>
    <t>Muretas dos solários - externo</t>
  </si>
  <si>
    <t>19.3</t>
  </si>
  <si>
    <t>PINTURA LATÉX ACRÍLICO 2 DEMÃOS</t>
  </si>
  <si>
    <t xml:space="preserve">Sala dos professores - externo e interno </t>
  </si>
  <si>
    <t xml:space="preserve">    Desconto de vão de janela (2J1 e 2J3)</t>
  </si>
  <si>
    <t>Almoxarifado - externo e interno</t>
  </si>
  <si>
    <t>Coordenação - externo e interno</t>
  </si>
  <si>
    <t xml:space="preserve">    Desconto de vão de janela (1J3)</t>
  </si>
  <si>
    <t>Circulação e Recpção</t>
  </si>
  <si>
    <t>Diretoria - externo e interno</t>
  </si>
  <si>
    <t>WC Feminino - externo e interno</t>
  </si>
  <si>
    <t>WC Masculino - externo e interno</t>
  </si>
  <si>
    <t>Lavabo diretoria - externo e interno</t>
  </si>
  <si>
    <t>Lavabo secretaria - externo e interno</t>
  </si>
  <si>
    <t>Secretaria - externo e interno</t>
  </si>
  <si>
    <t xml:space="preserve">    Desconto de vão de janela (2J3)</t>
  </si>
  <si>
    <t>Multimeios - externo e interno</t>
  </si>
  <si>
    <t xml:space="preserve">    Desconto de vão de porta (1P1)</t>
  </si>
  <si>
    <t xml:space="preserve">    Desconto de vão de janela (4J1)</t>
  </si>
  <si>
    <t>Maternal 2A - externo e interno</t>
  </si>
  <si>
    <t>Maternal 2B - externo e interno</t>
  </si>
  <si>
    <t xml:space="preserve">    Desconto de vão de porta (2P1)</t>
  </si>
  <si>
    <t>Maternal 1A - externo e interno</t>
  </si>
  <si>
    <t xml:space="preserve">    Desconto de vão de janela (6J1)</t>
  </si>
  <si>
    <t>Maternal 1B - externo e interno</t>
  </si>
  <si>
    <t xml:space="preserve">Informática - externo e interno </t>
  </si>
  <si>
    <t xml:space="preserve">    Desconto de vão de janela(4J1)</t>
  </si>
  <si>
    <t>Sala 7 - externo e interno</t>
  </si>
  <si>
    <t>Sala 6 - externo e interno</t>
  </si>
  <si>
    <t xml:space="preserve">    Desconto de vão de janela (2J1 e 2J9)</t>
  </si>
  <si>
    <t>Sala 5 - externo e interno</t>
  </si>
  <si>
    <t xml:space="preserve">    Desconto de vão de porta (1P7 e 1P9)</t>
  </si>
  <si>
    <t xml:space="preserve">    Desconto de vão de janela (1J1 e 2J9)</t>
  </si>
  <si>
    <t>Sala 4 - externo e interno</t>
  </si>
  <si>
    <t>Sala 3 - externo e interno</t>
  </si>
  <si>
    <t xml:space="preserve">    Desconto de vão de porta (1P9 e 1P7)</t>
  </si>
  <si>
    <t>Sala 2 - externo e interno</t>
  </si>
  <si>
    <t xml:space="preserve">    Desconto de vão de janela (3J1)</t>
  </si>
  <si>
    <t>Sala 1 - externo e interno</t>
  </si>
  <si>
    <t>Fraldário berç. 1- externo e interno</t>
  </si>
  <si>
    <t xml:space="preserve">    Desconto de vão de janela (1J9)</t>
  </si>
  <si>
    <t>Fraldário berç. 2- externo e interno</t>
  </si>
  <si>
    <t>Sanitário Fem. Infantil - externo e interno</t>
  </si>
  <si>
    <t>Sanitário Masc. Infantil - externo e interno</t>
  </si>
  <si>
    <t>Banheiro PNE - externo e interno</t>
  </si>
  <si>
    <t>Cozinha - externo e interno</t>
  </si>
  <si>
    <t xml:space="preserve">    Desconto de vão de porta (2P5 e 2P2)</t>
  </si>
  <si>
    <t xml:space="preserve">    Desconto de vão de janela (1L1 e 2J10</t>
  </si>
  <si>
    <t>Lactário - externo e interno</t>
  </si>
  <si>
    <t xml:space="preserve">    Desconto de vão de janela </t>
  </si>
  <si>
    <t>DML,Lavanderia, despensa e central de gáz - externo e interno</t>
  </si>
  <si>
    <t xml:space="preserve">    Desconto de vão de porta (3P2, 1P6, 1P5)</t>
  </si>
  <si>
    <t xml:space="preserve">    Desconto de vão de janela (1J6)</t>
  </si>
  <si>
    <t>Pilares</t>
  </si>
  <si>
    <t>Teto</t>
  </si>
  <si>
    <t xml:space="preserve">Sala dos professores </t>
  </si>
  <si>
    <t>Almoxarifado</t>
  </si>
  <si>
    <t>Coordenação</t>
  </si>
  <si>
    <t>WC Fun. Mas.</t>
  </si>
  <si>
    <t>WC Fun. Fem.</t>
  </si>
  <si>
    <t>Diretoria</t>
  </si>
  <si>
    <t>Lavabo diretoria</t>
  </si>
  <si>
    <t>Lavabo secretaria</t>
  </si>
  <si>
    <t>Recepção</t>
  </si>
  <si>
    <t>Multimeios</t>
  </si>
  <si>
    <t>Maternal 2A e WC</t>
  </si>
  <si>
    <t>Maternal 2B</t>
  </si>
  <si>
    <t>Maternal 1A</t>
  </si>
  <si>
    <t>Maternal 1B e WC</t>
  </si>
  <si>
    <t xml:space="preserve">Sala 6 </t>
  </si>
  <si>
    <t xml:space="preserve">Sala 4 </t>
  </si>
  <si>
    <t xml:space="preserve">Sala 3 </t>
  </si>
  <si>
    <t xml:space="preserve">Sanitário Fem. Infantil </t>
  </si>
  <si>
    <t>Sanitário Masc. Infantil</t>
  </si>
  <si>
    <t>MUROS  (FACE INTERNA E EXTERNA)</t>
  </si>
  <si>
    <t xml:space="preserve">   Muro Geral</t>
  </si>
  <si>
    <t>19.4</t>
  </si>
  <si>
    <t>SINAPI 102496</t>
  </si>
  <si>
    <t>PINTURA DE RODAPÉ COM TINTA EPÓXI, APLICAÇÃO MANUAL, 2 DEMÃOS, INCLUSÃO PRIMER EPÓXI</t>
  </si>
  <si>
    <t>Sala 6 - Cerâmica azul</t>
  </si>
  <si>
    <t>Sala 7 - Cerâmica azul</t>
  </si>
  <si>
    <t>Creche Fraldário- Cerâmica azul</t>
  </si>
  <si>
    <t>Maternal 1A - Cerâmica azul</t>
  </si>
  <si>
    <t>Maternal 1B - Cerâmica azul</t>
  </si>
  <si>
    <t>Maternal 2A - Cerâmica azul</t>
  </si>
  <si>
    <t>Maternal 2B - cerâmica azul</t>
  </si>
  <si>
    <t>Multimeios - cerâmica azul</t>
  </si>
  <si>
    <t>Almoxarifado - cerâmica azul</t>
  </si>
  <si>
    <t>Sala dos Professores - cerâmica azul</t>
  </si>
  <si>
    <t>Cordenação - cerâmica azul</t>
  </si>
  <si>
    <t>Circulação e Recepção - cerâmica azul</t>
  </si>
  <si>
    <t>Informática - cerâmica azul</t>
  </si>
  <si>
    <t>Secretaria - cerâmica azul</t>
  </si>
  <si>
    <t>Diretoria - cerâmica azul</t>
  </si>
  <si>
    <t>19.5</t>
  </si>
  <si>
    <t>PINT.POLIESPORTIVA - 2 DEM.(PISOS E CIMENTADOS)</t>
  </si>
  <si>
    <t>Pátio Coberto das salas (Superior)</t>
  </si>
  <si>
    <t>19.6</t>
  </si>
  <si>
    <t>FUNDO ANTICORROSIVO PARA ESQUADRIAS METÁLICAS</t>
  </si>
  <si>
    <t>Portão e gradil de entrada</t>
  </si>
  <si>
    <t>Portão da Lavanderia</t>
  </si>
  <si>
    <t>Portão do ARRS</t>
  </si>
  <si>
    <t>Gradil Portão da Central de Gás</t>
  </si>
  <si>
    <t>Estrutura Metálica ( fiberglass)</t>
  </si>
  <si>
    <t>Estruturas Metálicas das Coberturas (pilares)</t>
  </si>
  <si>
    <t>Corremão da rampa</t>
  </si>
  <si>
    <t>Platibada das estruturas metálicas e treliças</t>
  </si>
  <si>
    <t>Ferragens dos pilares existentes</t>
  </si>
  <si>
    <t>Brise Soleil de metalon/chapa veneziana 1,60x1,60m</t>
  </si>
  <si>
    <t>19.7</t>
  </si>
  <si>
    <t>PINT.ESMALTE S/ ANTICOR 2 DEMAOS</t>
  </si>
  <si>
    <t>Estruturas Metalicas das Coberturas ( pilares)</t>
  </si>
  <si>
    <t>GRUPO DE SERVIÇO: 187 - DIVERSOS</t>
  </si>
  <si>
    <t>DIVERSOS</t>
  </si>
  <si>
    <t>20.1</t>
  </si>
  <si>
    <t xml:space="preserve">PLANTIO GRAMA ESMERALDA PLACA C/ M.O. IRRIG., ADUBO,TERRA VEGETAL (O.C.) A&lt;11.000,00M2
</t>
  </si>
  <si>
    <t>Área da frente</t>
  </si>
  <si>
    <t xml:space="preserve">Área da Caixa da água </t>
  </si>
  <si>
    <t>20.2</t>
  </si>
  <si>
    <t>LIMPEZA FINAL DE OBRA - (OBRAS CIVIS)</t>
  </si>
  <si>
    <t>Área total da construção</t>
  </si>
  <si>
    <t>20.3</t>
  </si>
  <si>
    <t>PLACA DE INAUGURAÇÃO AÇO ESCOVADO 80 X 60 CM</t>
  </si>
  <si>
    <t>QUANTIDADE</t>
  </si>
  <si>
    <t>Local a ser definido pela fiscalização</t>
  </si>
  <si>
    <t>20.4</t>
  </si>
  <si>
    <t>COMPOSIÇÃO 7</t>
  </si>
  <si>
    <t>ESPELHO 40X50 CM</t>
  </si>
  <si>
    <t>W.C. Masculino infantil (3 und)</t>
  </si>
  <si>
    <t>WC feminino infantil (3 und)</t>
  </si>
  <si>
    <t>Banheiro PNE (1und)</t>
  </si>
  <si>
    <t>Vest. Fem (1und)</t>
  </si>
  <si>
    <t>Vest. Masc (1und)</t>
  </si>
  <si>
    <t>20.5</t>
  </si>
  <si>
    <t>BANCO DE CONCRETO POLIDO BASE EM ALVENARIA REBOCADA E PINTADA - PADRÃO GOINFRA</t>
  </si>
  <si>
    <t>Fraldário Berç.1</t>
  </si>
  <si>
    <t>Pátio inferior</t>
  </si>
  <si>
    <t>20.6</t>
  </si>
  <si>
    <t>COMPOSIÇÃO 10</t>
  </si>
  <si>
    <t>BANCADA EM GRANITO INSTALADA</t>
  </si>
  <si>
    <t>Vest. Masc</t>
  </si>
  <si>
    <t xml:space="preserve">W.C. Masculino infantil </t>
  </si>
  <si>
    <t>Despensa (3 lances de prateleira)</t>
  </si>
  <si>
    <t>DML (3 lances de prateleira)</t>
  </si>
  <si>
    <t xml:space="preserve">Lavanderia </t>
  </si>
  <si>
    <t>20.7</t>
  </si>
  <si>
    <t>SINAPI 101965</t>
  </si>
  <si>
    <t>PEITORIL DE MÁMORE / GRANITO</t>
  </si>
  <si>
    <t>J1</t>
  </si>
  <si>
    <t>J2</t>
  </si>
  <si>
    <t>J4</t>
  </si>
  <si>
    <t>Guichê</t>
  </si>
  <si>
    <t>J5</t>
  </si>
  <si>
    <t>J8</t>
  </si>
  <si>
    <t>J6</t>
  </si>
  <si>
    <t>J9</t>
  </si>
  <si>
    <t>W.C Masculino infantil</t>
  </si>
  <si>
    <t>3J1</t>
  </si>
  <si>
    <t>2J9</t>
  </si>
  <si>
    <t>20.8</t>
  </si>
  <si>
    <t>TAPUME EM CHAPA COMPENSADA RESINADA 6MM COM PORTÕES E FERRAGENS</t>
  </si>
  <si>
    <t>Ao redor da obra (pátios)</t>
  </si>
  <si>
    <t>20.9</t>
  </si>
  <si>
    <t>PAVIMENTO INTERTRAVADO ESPESSURA DE 6 CM FCK = 35 MPA</t>
  </si>
  <si>
    <t>Solário 1</t>
  </si>
  <si>
    <t>Solário 2</t>
  </si>
  <si>
    <t>Solário 3</t>
  </si>
  <si>
    <t>Solário 4</t>
  </si>
  <si>
    <t>Solário 5</t>
  </si>
  <si>
    <t>20.10</t>
  </si>
  <si>
    <t>Muros</t>
  </si>
  <si>
    <t>Elaborado por:</t>
  </si>
  <si>
    <t>________________________________</t>
  </si>
  <si>
    <t>Rafaiane Gonçalves Purcino</t>
  </si>
  <si>
    <t>PLANILHA ORÇAMENTÁRIA</t>
  </si>
  <si>
    <t>TABELA</t>
  </si>
  <si>
    <t xml:space="preserve">CÓD. </t>
  </si>
  <si>
    <t xml:space="preserve">DESCRIÇÃO </t>
  </si>
  <si>
    <t>MATERIAL</t>
  </si>
  <si>
    <t>MÃO DE OBRA</t>
  </si>
  <si>
    <t>GOINFRA</t>
  </si>
  <si>
    <t>SINAPI</t>
  </si>
  <si>
    <t>GRUPO DE SERVIÇO 165: TRANSPORTES</t>
  </si>
  <si>
    <t>GRUPO DE SERVIÇO 166: SERVIÇOS EM TERRA</t>
  </si>
  <si>
    <t>GRUPO DE SERVIÇO 167: FUNDAÇÕES E SONDAGENS</t>
  </si>
  <si>
    <t>GRUPO DE SERVIÇO 168: ESTRUTURAS</t>
  </si>
  <si>
    <t>ESTRUTURAS</t>
  </si>
  <si>
    <t>GRUPO DE SERVIÇO 169: INST. ELÉT./TELEFÔNICA/CABEAMENTO ESTRUTURADO</t>
  </si>
  <si>
    <t xml:space="preserve"> INST. ELÉT./TELEFÔNICA/CABEAMENTO ESTRUTURADO</t>
  </si>
  <si>
    <t xml:space="preserve">SINAPI 97589 </t>
  </si>
  <si>
    <t>DER-ES</t>
  </si>
  <si>
    <t>GRUPO DE SERVIÇO 170: INSTALAÇÃO HIDROSSANITÁRIA</t>
  </si>
  <si>
    <t>INSTALAÇÃO HIDROSSANITÁRIA</t>
  </si>
  <si>
    <t>LOUÇAS E AGUA FRIA</t>
  </si>
  <si>
    <t>ESGOTO SANITÁRIO</t>
  </si>
  <si>
    <t>PARANÁ</t>
  </si>
  <si>
    <t>GRUPO DE SERVIÇO 171: INSTALAÇÕES ESPECIAIS</t>
  </si>
  <si>
    <t>GRUPO DE SERVIÇO 172: ALVENARIAS E DIVISÓRIAS</t>
  </si>
  <si>
    <t>ALVENARIAS E DIVISÓRIAS</t>
  </si>
  <si>
    <t>GRUPO DE SERVIÇO 174: IMPERMEABILIZAÇÃO</t>
  </si>
  <si>
    <t>GRUPO DE SERVIÇO 176: ESTRUTURAS DE MADEIRAS</t>
  </si>
  <si>
    <t>ESTRUTURAS DE MADEIRA</t>
  </si>
  <si>
    <t>GRUPO DE SERVIÇO 178: COBERTURA</t>
  </si>
  <si>
    <t>GRUPOS DE SERVIÇO 179: ESQUADRIAS DE MADEIRAS</t>
  </si>
  <si>
    <t>ESQUADRIAS MADEIRA</t>
  </si>
  <si>
    <t>GRUPO DE SERVIÇO 180: ESQUADRIAS METÁLICAS</t>
  </si>
  <si>
    <t>SUDECAP</t>
  </si>
  <si>
    <t>GRUPO DE SERVIÇO 182: REVESTIMENTO DE PAREDES</t>
  </si>
  <si>
    <t>GRUPO DE SERVIÇO 183: REVESTIMENTO DE PISO</t>
  </si>
  <si>
    <t xml:space="preserve">m </t>
  </si>
  <si>
    <t>TOTAIS</t>
  </si>
  <si>
    <t>TOTAL :</t>
  </si>
  <si>
    <t>BDI (23,88):</t>
  </si>
  <si>
    <t>TOTAL COM BDI :</t>
  </si>
  <si>
    <t>Aprovado por:</t>
  </si>
  <si>
    <t>_______________________________________</t>
  </si>
  <si>
    <t>Leonardo Pereira Santa Cecília</t>
  </si>
  <si>
    <t>Secretário Municipal de Educação</t>
  </si>
  <si>
    <t>PREFEITURA MUNICIPAL DE CATALÃO</t>
  </si>
  <si>
    <t>CRONOGRAMA</t>
  </si>
  <si>
    <t>MÊS</t>
  </si>
  <si>
    <t>GRUPO DE SERVIÇO</t>
  </si>
  <si>
    <t>Valor da etapa</t>
  </si>
  <si>
    <t>% da obra</t>
  </si>
  <si>
    <t>INST. ELÉT./TELEFÔNICA/CABEAMENTO ESTRUTURADO</t>
  </si>
  <si>
    <t>ESQUADRIAS DE MADEIRA</t>
  </si>
  <si>
    <t>ADMINISTRAÇÃO - MENSALISTA</t>
  </si>
  <si>
    <t>Total</t>
  </si>
  <si>
    <t>Total c/ BDI</t>
  </si>
  <si>
    <t>PORCENTAGEM</t>
  </si>
  <si>
    <t>TOTAL ACUMULADO</t>
  </si>
  <si>
    <t>PORCENTAGEM CONCLUÍDA</t>
  </si>
  <si>
    <t>________________________________________________</t>
  </si>
  <si>
    <t>CREA: 1017759553/D-GO</t>
  </si>
  <si>
    <t xml:space="preserve">ACO CA-60 - 5,0 MM - (OBRAS CIVIS) </t>
  </si>
  <si>
    <t>SINAPI 92027</t>
  </si>
  <si>
    <t>SINAPI 86904</t>
  </si>
  <si>
    <t xml:space="preserve">SINAPI 86888 </t>
  </si>
  <si>
    <t>COMPOSIÇÃO 19</t>
  </si>
  <si>
    <t>020101</t>
  </si>
  <si>
    <t>ESTRUTURA DE MADEIRA PARA TELHA DE FIBROCIMENTO (C/TESOURA) C/FERRAGENS</t>
  </si>
  <si>
    <t>TABELA 190 GOINFRA -  (NOVEMBRO / 2022) CUSTOS DE OBRAS CIVIS - DESONERADA</t>
  </si>
  <si>
    <t xml:space="preserve"> TABELA CUSTOS LABOR/CT-UFES PADRÃO DER-ES - (OUTUBRO / 2022) - DESONERADA</t>
  </si>
  <si>
    <t>SINAPI 97584</t>
  </si>
  <si>
    <t>LUMINÁRIA TIPO CALHA, DE SOBREPOR, COM 1 LÂMPADA TUBULAR FLUORESCENTE DE 36 W, COM REATOR DE PARTIDA RÁPIDA - FORNECIMENTO E INSTALAÇÃO.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</si>
</sst>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R$&quot;\ * #,##0.00_-;\-&quot;R$&quot;\ * #,##0.00_-;_-&quot;R$&quot;\ * &quot;-&quot;??_-;_-@_-"/>
    <numFmt numFmtId="43" formatCode="_-* #,##0.00_-;\-* #,##0.00_-;_-* &quot;-&quot;??_-;_-@_-"/>
    <numFmt numFmtId="164" formatCode="&quot;R$&quot;#,##0.00;[Red]\-&quot;R$&quot;#,##0.00"/>
    <numFmt numFmtId="165" formatCode="_-&quot;R$&quot;* #,##0.00_-;\-&quot;R$&quot;* #,##0.00_-;_-&quot;R$&quot;* &quot;-&quot;??_-;_-@_-"/>
    <numFmt numFmtId="166" formatCode="_(&quot;R$ &quot;* #,##0.00_);_(&quot;R$ &quot;* \(#,##0.00\);_(&quot;R$ &quot;* &quot;-&quot;??_);_(@_)"/>
    <numFmt numFmtId="167" formatCode="0.000"/>
    <numFmt numFmtId="169" formatCode="0.0"/>
    <numFmt numFmtId="170" formatCode="&quot;R$&quot;#,##0.00"/>
  </numFmts>
  <fonts count="40" x14ac:knownFonts="1">
    <font>
      <sz val="11"/>
      <color theme="1"/>
      <name val="Calibri"/>
      <family val="2"/>
      <scheme val="minor"/>
    </font>
    <font>
      <sz val="11"/>
      <color theme="1"/>
      <name val="Calibri"/>
      <family val="2"/>
      <scheme val="minor"/>
    </font>
    <font>
      <b/>
      <sz val="11"/>
      <color theme="1"/>
      <name val="Calibri"/>
      <family val="2"/>
      <scheme val="minor"/>
    </font>
    <font>
      <b/>
      <sz val="11"/>
      <name val="Arial"/>
      <family val="2"/>
    </font>
    <font>
      <sz val="12"/>
      <color theme="1"/>
      <name val="Arial"/>
      <family val="2"/>
    </font>
    <font>
      <sz val="11"/>
      <color theme="1"/>
      <name val="Arial"/>
      <family val="2"/>
    </font>
    <font>
      <b/>
      <sz val="11"/>
      <color theme="1"/>
      <name val="Arial"/>
      <family val="2"/>
    </font>
    <font>
      <sz val="8"/>
      <name val="Calibri"/>
      <family val="2"/>
      <scheme val="minor"/>
    </font>
    <font>
      <sz val="10"/>
      <name val="Arial"/>
      <family val="2"/>
    </font>
    <font>
      <sz val="11"/>
      <color rgb="FF000000"/>
      <name val="Arial"/>
      <family val="2"/>
    </font>
    <font>
      <sz val="11"/>
      <name val="Arial"/>
      <family val="2"/>
    </font>
    <font>
      <b/>
      <sz val="11"/>
      <color rgb="FF000000"/>
      <name val="Arial"/>
      <family val="2"/>
    </font>
    <font>
      <b/>
      <sz val="12"/>
      <name val="Arial"/>
      <family val="2"/>
    </font>
    <font>
      <b/>
      <sz val="12"/>
      <color theme="1"/>
      <name val="Arial"/>
      <family val="2"/>
    </font>
    <font>
      <sz val="12"/>
      <name val="Arial"/>
      <family val="2"/>
    </font>
    <font>
      <b/>
      <sz val="12"/>
      <color rgb="FF000000"/>
      <name val="Arial"/>
      <family val="2"/>
    </font>
    <font>
      <sz val="12"/>
      <color rgb="FF000000"/>
      <name val="Arial"/>
      <family val="2"/>
    </font>
    <font>
      <sz val="12"/>
      <color rgb="FFFF0000"/>
      <name val="Arial"/>
      <family val="2"/>
    </font>
    <font>
      <sz val="11"/>
      <color rgb="FF000000"/>
      <name val="Arial"/>
      <family val="2"/>
    </font>
    <font>
      <sz val="11"/>
      <name val="Arial"/>
      <family val="2"/>
    </font>
    <font>
      <b/>
      <sz val="11"/>
      <color theme="1"/>
      <name val="Arial"/>
      <family val="2"/>
    </font>
    <font>
      <sz val="11"/>
      <color theme="1"/>
      <name val="Arial"/>
      <family val="2"/>
    </font>
    <font>
      <b/>
      <sz val="12"/>
      <color theme="1"/>
      <name val="Arial"/>
      <family val="2"/>
    </font>
    <font>
      <sz val="12"/>
      <color theme="1"/>
      <name val="Arial"/>
      <family val="2"/>
    </font>
    <font>
      <b/>
      <sz val="12"/>
      <color rgb="FF000000"/>
      <name val="Arial"/>
      <family val="2"/>
    </font>
    <font>
      <b/>
      <sz val="14"/>
      <color rgb="FF000000"/>
      <name val="Arial"/>
      <family val="2"/>
    </font>
    <font>
      <sz val="14"/>
      <name val="Arial"/>
      <family val="2"/>
    </font>
    <font>
      <sz val="14"/>
      <color theme="1"/>
      <name val="Arial"/>
      <family val="2"/>
    </font>
    <font>
      <sz val="12"/>
      <name val="Arial"/>
      <family val="2"/>
    </font>
    <font>
      <sz val="12"/>
      <color rgb="FF000000"/>
      <name val="Arial"/>
      <family val="2"/>
    </font>
    <font>
      <b/>
      <sz val="14"/>
      <color rgb="FF000000"/>
      <name val="Arial"/>
      <family val="2"/>
    </font>
    <font>
      <sz val="11"/>
      <color rgb="FF000000"/>
      <name val="Calibri"/>
      <family val="2"/>
      <scheme val="minor"/>
    </font>
    <font>
      <b/>
      <sz val="14"/>
      <color theme="1"/>
      <name val="Arial"/>
      <family val="2"/>
    </font>
    <font>
      <b/>
      <sz val="11"/>
      <name val="Calibri"/>
      <family val="2"/>
      <scheme val="minor"/>
    </font>
    <font>
      <b/>
      <sz val="11"/>
      <color rgb="FF000000"/>
      <name val="Calibri"/>
      <family val="2"/>
      <scheme val="minor"/>
    </font>
    <font>
      <b/>
      <sz val="10"/>
      <name val="Calibri"/>
      <family val="2"/>
      <scheme val="minor"/>
    </font>
    <font>
      <sz val="10"/>
      <name val="Calibri"/>
      <family val="2"/>
      <scheme val="minor"/>
    </font>
    <font>
      <sz val="11"/>
      <color rgb="FF444444"/>
      <name val="Calibri"/>
      <family val="2"/>
      <charset val="1"/>
      <scheme val="minor"/>
    </font>
    <font>
      <sz val="10"/>
      <color theme="1"/>
      <name val="Arial Narrow"/>
      <family val="2"/>
    </font>
    <font>
      <sz val="10"/>
      <color theme="0" tint="-0.34998626667073579"/>
      <name val="Calibri"/>
      <family val="2"/>
      <scheme val="minor"/>
    </font>
  </fonts>
  <fills count="12">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theme="0" tint="-0.14999847407452621"/>
        <bgColor indexed="64"/>
      </patternFill>
    </fill>
    <fill>
      <patternFill patternType="solid">
        <fgColor theme="7"/>
        <bgColor indexed="64"/>
      </patternFill>
    </fill>
    <fill>
      <patternFill patternType="solid">
        <fgColor rgb="FFFFD966"/>
        <bgColor indexed="64"/>
      </patternFill>
    </fill>
    <fill>
      <patternFill patternType="solid">
        <fgColor rgb="FFFFD966"/>
        <bgColor rgb="FF000000"/>
      </patternFill>
    </fill>
    <fill>
      <patternFill patternType="solid">
        <fgColor rgb="FFBFBFBF"/>
        <bgColor indexed="64"/>
      </patternFill>
    </fill>
    <fill>
      <patternFill patternType="solid">
        <fgColor rgb="FFAEAAAA"/>
        <bgColor indexed="64"/>
      </patternFill>
    </fill>
    <fill>
      <patternFill patternType="solid">
        <fgColor rgb="FFFFFFFF"/>
        <bgColor indexed="64"/>
      </patternFill>
    </fill>
  </fills>
  <borders count="1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right/>
      <top style="thin">
        <color indexed="64"/>
      </top>
      <bottom style="thin">
        <color indexed="64"/>
      </bottom>
      <diagonal/>
    </border>
    <border>
      <left/>
      <right/>
      <top/>
      <bottom style="thin">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diagonal/>
    </border>
    <border>
      <left style="medium">
        <color indexed="64"/>
      </left>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bottom style="medium">
        <color indexed="64"/>
      </bottom>
      <diagonal/>
    </border>
    <border>
      <left/>
      <right/>
      <top style="thin">
        <color indexed="64"/>
      </top>
      <bottom style="medium">
        <color indexed="64"/>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2" tint="-0.249977111117893"/>
      </left>
      <right style="thin">
        <color theme="2" tint="-0.249977111117893"/>
      </right>
      <top style="thin">
        <color theme="2" tint="-0.249977111117893"/>
      </top>
      <bottom/>
      <diagonal/>
    </border>
    <border>
      <left style="medium">
        <color indexed="64"/>
      </left>
      <right style="thin">
        <color theme="2" tint="-0.249977111117893"/>
      </right>
      <top style="thin">
        <color theme="2" tint="-0.249977111117893"/>
      </top>
      <bottom style="thin">
        <color theme="2" tint="-0.249977111117893"/>
      </bottom>
      <diagonal/>
    </border>
    <border>
      <left style="thin">
        <color theme="2" tint="-0.249977111117893"/>
      </left>
      <right style="medium">
        <color indexed="64"/>
      </right>
      <top style="thin">
        <color theme="2" tint="-0.249977111117893"/>
      </top>
      <bottom style="thin">
        <color theme="2" tint="-0.249977111117893"/>
      </bottom>
      <diagonal/>
    </border>
    <border>
      <left style="thin">
        <color theme="2" tint="-0.249977111117893"/>
      </left>
      <right/>
      <top style="thin">
        <color theme="2" tint="-0.249977111117893"/>
      </top>
      <bottom style="thin">
        <color theme="2" tint="-0.249977111117893"/>
      </bottom>
      <diagonal/>
    </border>
    <border>
      <left style="thin">
        <color theme="2" tint="-0.249977111117893"/>
      </left>
      <right style="thin">
        <color theme="2" tint="-0.249977111117893"/>
      </right>
      <top/>
      <bottom style="thin">
        <color theme="2" tint="-0.249977111117893"/>
      </bottom>
      <diagonal/>
    </border>
    <border>
      <left style="thin">
        <color rgb="FF000000"/>
      </left>
      <right/>
      <top style="thin">
        <color rgb="FF000000"/>
      </top>
      <bottom style="thin">
        <color rgb="FF000000"/>
      </bottom>
      <diagonal/>
    </border>
    <border>
      <left/>
      <right style="thin">
        <color indexed="64"/>
      </right>
      <top/>
      <bottom/>
      <diagonal/>
    </border>
    <border>
      <left style="medium">
        <color indexed="64"/>
      </left>
      <right/>
      <top style="thin">
        <color theme="2" tint="-0.249977111117893"/>
      </top>
      <bottom/>
      <diagonal/>
    </border>
    <border>
      <left/>
      <right/>
      <top style="thin">
        <color theme="2" tint="-0.249977111117893"/>
      </top>
      <bottom/>
      <diagonal/>
    </border>
    <border>
      <left style="thin">
        <color rgb="FF000000"/>
      </left>
      <right style="thin">
        <color rgb="FF000000"/>
      </right>
      <top style="thin">
        <color rgb="FF000000"/>
      </top>
      <bottom/>
      <diagonal/>
    </border>
    <border>
      <left style="medium">
        <color indexed="64"/>
      </left>
      <right style="thin">
        <color theme="2" tint="-0.249977111117893"/>
      </right>
      <top/>
      <bottom style="thin">
        <color theme="2" tint="-0.249977111117893"/>
      </bottom>
      <diagonal/>
    </border>
    <border>
      <left style="thin">
        <color theme="2" tint="-0.249977111117893"/>
      </left>
      <right style="medium">
        <color indexed="64"/>
      </right>
      <top/>
      <bottom style="thin">
        <color theme="2" tint="-0.249977111117893"/>
      </bottom>
      <diagonal/>
    </border>
    <border>
      <left style="medium">
        <color indexed="64"/>
      </left>
      <right/>
      <top style="thin">
        <color indexed="64"/>
      </top>
      <bottom style="thin">
        <color rgb="FF000000"/>
      </bottom>
      <diagonal/>
    </border>
    <border>
      <left style="thin">
        <color theme="2" tint="-0.249977111117893"/>
      </left>
      <right/>
      <top/>
      <bottom style="thin">
        <color indexed="64"/>
      </bottom>
      <diagonal/>
    </border>
    <border>
      <left style="medium">
        <color indexed="64"/>
      </left>
      <right/>
      <top style="thin">
        <color theme="2" tint="-0.249977111117893"/>
      </top>
      <bottom style="thin">
        <color indexed="64"/>
      </bottom>
      <diagonal/>
    </border>
    <border>
      <left style="thin">
        <color theme="2" tint="-0.249977111117893"/>
      </left>
      <right style="thin">
        <color theme="2" tint="-0.249977111117893"/>
      </right>
      <top style="thin">
        <color theme="2" tint="-0.249977111117893"/>
      </top>
      <bottom style="thin">
        <color indexed="64"/>
      </bottom>
      <diagonal/>
    </border>
    <border>
      <left style="thick">
        <color indexed="64"/>
      </left>
      <right/>
      <top style="thin">
        <color indexed="64"/>
      </top>
      <bottom/>
      <diagonal/>
    </border>
    <border>
      <left style="thick">
        <color indexed="64"/>
      </left>
      <right/>
      <top/>
      <bottom/>
      <diagonal/>
    </border>
    <border>
      <left style="thick">
        <color indexed="64"/>
      </left>
      <right/>
      <top/>
      <bottom style="thin">
        <color indexed="64"/>
      </bottom>
      <diagonal/>
    </border>
    <border>
      <left style="thin">
        <color indexed="64"/>
      </left>
      <right style="medium">
        <color indexed="64"/>
      </right>
      <top style="thin">
        <color rgb="FF000000"/>
      </top>
      <bottom style="thin">
        <color indexed="64"/>
      </bottom>
      <diagonal/>
    </border>
    <border>
      <left style="medium">
        <color indexed="64"/>
      </left>
      <right style="medium">
        <color indexed="64"/>
      </right>
      <top/>
      <bottom style="medium">
        <color indexed="64"/>
      </bottom>
      <diagonal/>
    </border>
    <border>
      <left/>
      <right/>
      <top/>
      <bottom style="medium">
        <color rgb="FF000000"/>
      </bottom>
      <diagonal/>
    </border>
    <border>
      <left/>
      <right style="medium">
        <color rgb="FF000000"/>
      </right>
      <top/>
      <bottom style="medium">
        <color rgb="FF000000"/>
      </bottom>
      <diagonal/>
    </border>
    <border>
      <left/>
      <right style="medium">
        <color rgb="FF000000"/>
      </right>
      <top/>
      <bottom/>
      <diagonal/>
    </border>
    <border>
      <left style="thin">
        <color indexed="64"/>
      </left>
      <right style="medium">
        <color rgb="FF000000"/>
      </right>
      <top style="thin">
        <color indexed="64"/>
      </top>
      <bottom style="thin">
        <color indexed="64"/>
      </bottom>
      <diagonal/>
    </border>
    <border>
      <left/>
      <right style="thin">
        <color rgb="FF000000"/>
      </right>
      <top style="thin">
        <color indexed="64"/>
      </top>
      <bottom/>
      <diagonal/>
    </border>
    <border>
      <left style="medium">
        <color indexed="64"/>
      </left>
      <right/>
      <top/>
      <bottom style="thin">
        <color rgb="FF000000"/>
      </bottom>
      <diagonal/>
    </border>
    <border>
      <left/>
      <right style="thin">
        <color rgb="FF000000"/>
      </right>
      <top/>
      <bottom style="thin">
        <color rgb="FF000000"/>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rgb="FF000000"/>
      </right>
      <top style="thin">
        <color indexed="64"/>
      </top>
      <bottom style="thin">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style="thin">
        <color indexed="64"/>
      </left>
      <right style="medium">
        <color rgb="FF000000"/>
      </right>
      <top style="thin">
        <color indexed="64"/>
      </top>
      <bottom/>
      <diagonal/>
    </border>
    <border>
      <left style="medium">
        <color rgb="FF000000"/>
      </left>
      <right style="thin">
        <color indexed="64"/>
      </right>
      <top style="thin">
        <color indexed="64"/>
      </top>
      <bottom style="thin">
        <color indexed="64"/>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right style="medium">
        <color rgb="FF000000"/>
      </right>
      <top style="thin">
        <color indexed="64"/>
      </top>
      <bottom/>
      <diagonal/>
    </border>
    <border>
      <left style="medium">
        <color rgb="FF000000"/>
      </left>
      <right/>
      <top/>
      <bottom style="medium">
        <color rgb="FF000000"/>
      </bottom>
      <diagonal/>
    </border>
    <border>
      <left style="medium">
        <color rgb="FF000000"/>
      </left>
      <right/>
      <top style="thin">
        <color rgb="FF000000"/>
      </top>
      <bottom/>
      <diagonal/>
    </border>
    <border>
      <left style="thin">
        <color rgb="FF000000"/>
      </left>
      <right style="medium">
        <color rgb="FF000000"/>
      </right>
      <top style="thin">
        <color rgb="FF000000"/>
      </top>
      <bottom/>
      <diagonal/>
    </border>
    <border>
      <left style="medium">
        <color indexed="64"/>
      </left>
      <right style="thin">
        <color theme="2" tint="-0.249977111117893"/>
      </right>
      <top style="thin">
        <color theme="2" tint="-0.249977111117893"/>
      </top>
      <bottom/>
      <diagonal/>
    </border>
    <border>
      <left style="thin">
        <color theme="2" tint="-0.249977111117893"/>
      </left>
      <right style="medium">
        <color indexed="64"/>
      </right>
      <top style="thin">
        <color theme="2" tint="-0.249977111117893"/>
      </top>
      <bottom/>
      <diagonal/>
    </border>
    <border>
      <left style="thin">
        <color rgb="FF000000"/>
      </left>
      <right style="thin">
        <color indexed="64"/>
      </right>
      <top style="thin">
        <color indexed="64"/>
      </top>
      <bottom/>
      <diagonal/>
    </border>
    <border>
      <left style="thin">
        <color rgb="FF000000"/>
      </left>
      <right style="thin">
        <color indexed="64"/>
      </right>
      <top/>
      <bottom style="thin">
        <color indexed="64"/>
      </bottom>
      <diagonal/>
    </border>
    <border>
      <left/>
      <right style="thin">
        <color indexed="64"/>
      </right>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medium">
        <color indexed="64"/>
      </right>
      <top style="thin">
        <color indexed="64"/>
      </top>
      <bottom style="thin">
        <color rgb="FF000000"/>
      </bottom>
      <diagonal/>
    </border>
    <border>
      <left/>
      <right style="thin">
        <color indexed="64"/>
      </right>
      <top style="thin">
        <color indexed="64"/>
      </top>
      <bottom style="thin">
        <color rgb="FF000000"/>
      </bottom>
      <diagonal/>
    </border>
    <border>
      <left/>
      <right style="medium">
        <color rgb="FF000000"/>
      </right>
      <top style="thin">
        <color indexed="64"/>
      </top>
      <bottom style="thin">
        <color indexed="64"/>
      </bottom>
      <diagonal/>
    </border>
    <border>
      <left style="medium">
        <color rgb="FF000000"/>
      </left>
      <right style="thin">
        <color indexed="64"/>
      </right>
      <top style="thin">
        <color rgb="FF000000"/>
      </top>
      <bottom style="thin">
        <color indexed="64"/>
      </bottom>
      <diagonal/>
    </border>
    <border>
      <left style="thin">
        <color indexed="64"/>
      </left>
      <right style="thin">
        <color rgb="FF000000"/>
      </right>
      <top style="thin">
        <color rgb="FF000000"/>
      </top>
      <bottom style="thin">
        <color indexed="64"/>
      </bottom>
      <diagonal/>
    </border>
    <border>
      <left style="medium">
        <color rgb="FF000000"/>
      </left>
      <right style="thin">
        <color indexed="64"/>
      </right>
      <top style="thin">
        <color indexed="64"/>
      </top>
      <bottom style="thin">
        <color rgb="FF000000"/>
      </bottom>
      <diagonal/>
    </border>
    <border>
      <left style="thin">
        <color indexed="64"/>
      </left>
      <right style="thin">
        <color rgb="FF000000"/>
      </right>
      <top style="thin">
        <color indexed="64"/>
      </top>
      <bottom style="thin">
        <color rgb="FF000000"/>
      </bottom>
      <diagonal/>
    </border>
    <border>
      <left/>
      <right style="medium">
        <color rgb="FF000000"/>
      </right>
      <top style="thin">
        <color rgb="FF000000"/>
      </top>
      <bottom style="thin">
        <color indexed="64"/>
      </bottom>
      <diagonal/>
    </border>
    <border>
      <left style="thin">
        <color rgb="FF000000"/>
      </left>
      <right style="medium">
        <color rgb="FF000000"/>
      </right>
      <top style="thin">
        <color rgb="FF000000"/>
      </top>
      <bottom style="thin">
        <color indexed="64"/>
      </bottom>
      <diagonal/>
    </border>
    <border>
      <left style="thin">
        <color rgb="FF000000"/>
      </left>
      <right style="medium">
        <color rgb="FF000000"/>
      </right>
      <top style="thin">
        <color indexed="64"/>
      </top>
      <bottom style="thin">
        <color indexed="64"/>
      </bottom>
      <diagonal/>
    </border>
    <border>
      <left style="thin">
        <color rgb="FF000000"/>
      </left>
      <right style="medium">
        <color rgb="FF000000"/>
      </right>
      <top style="thin">
        <color indexed="64"/>
      </top>
      <bottom style="thin">
        <color rgb="FF000000"/>
      </bottom>
      <diagonal/>
    </border>
    <border>
      <left style="medium">
        <color rgb="FF000000"/>
      </left>
      <right style="thin">
        <color indexed="64"/>
      </right>
      <top style="thin">
        <color rgb="FF000000"/>
      </top>
      <bottom style="thin">
        <color rgb="FF000000"/>
      </bottom>
      <diagonal/>
    </border>
    <border>
      <left style="thin">
        <color indexed="64"/>
      </left>
      <right style="thin">
        <color rgb="FF000000"/>
      </right>
      <top style="thin">
        <color rgb="FF000000"/>
      </top>
      <bottom style="thin">
        <color rgb="FF000000"/>
      </bottom>
      <diagonal/>
    </border>
    <border>
      <left/>
      <right/>
      <top style="thin">
        <color rgb="FF000000"/>
      </top>
      <bottom/>
      <diagonal/>
    </border>
    <border>
      <left style="thin">
        <color indexed="64"/>
      </left>
      <right style="thin">
        <color indexed="64"/>
      </right>
      <top style="thin">
        <color rgb="FF000000"/>
      </top>
      <bottom style="thin">
        <color indexed="64"/>
      </bottom>
      <diagonal/>
    </border>
    <border>
      <left style="thin">
        <color indexed="64"/>
      </left>
      <right style="medium">
        <color rgb="FF000000"/>
      </right>
      <top style="thin">
        <color rgb="FF000000"/>
      </top>
      <bottom style="thin">
        <color indexed="64"/>
      </bottom>
      <diagonal/>
    </border>
    <border>
      <left style="thin">
        <color rgb="FF000000"/>
      </left>
      <right/>
      <top style="thin">
        <color rgb="FF000000"/>
      </top>
      <bottom/>
      <diagonal/>
    </border>
    <border>
      <left style="thin">
        <color indexed="64"/>
      </left>
      <right/>
      <top style="thin">
        <color indexed="64"/>
      </top>
      <bottom style="thin">
        <color rgb="FF000000"/>
      </bottom>
      <diagonal/>
    </border>
    <border>
      <left style="thin">
        <color indexed="64"/>
      </left>
      <right/>
      <top style="thin">
        <color rgb="FF000000"/>
      </top>
      <bottom/>
      <diagonal/>
    </border>
    <border>
      <left style="thin">
        <color indexed="64"/>
      </left>
      <right style="thin">
        <color indexed="64"/>
      </right>
      <top style="thin">
        <color rgb="FF000000"/>
      </top>
      <bottom/>
      <diagonal/>
    </border>
    <border>
      <left/>
      <right style="thin">
        <color indexed="64"/>
      </right>
      <top style="thin">
        <color rgb="FF000000"/>
      </top>
      <bottom/>
      <diagonal/>
    </border>
    <border>
      <left style="thin">
        <color indexed="64"/>
      </left>
      <right style="medium">
        <color rgb="FF000000"/>
      </right>
      <top style="thin">
        <color rgb="FF000000"/>
      </top>
      <bottom/>
      <diagonal/>
    </border>
  </borders>
  <cellStyleXfs count="16">
    <xf numFmtId="0" fontId="0" fillId="0" borderId="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8" fillId="0" borderId="0"/>
    <xf numFmtId="166" fontId="8" fillId="0" borderId="0" applyFont="0" applyFill="0" applyBorder="0" applyAlignment="0" applyProtection="0"/>
    <xf numFmtId="43" fontId="8"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910">
    <xf numFmtId="0" fontId="0" fillId="0" borderId="0" xfId="0"/>
    <xf numFmtId="2" fontId="5" fillId="2" borderId="0" xfId="0" applyNumberFormat="1" applyFont="1" applyFill="1" applyAlignment="1">
      <alignment horizontal="center" vertical="center"/>
    </xf>
    <xf numFmtId="0" fontId="0" fillId="0" borderId="0" xfId="0" applyAlignment="1">
      <alignment horizontal="center" vertical="center"/>
    </xf>
    <xf numFmtId="2" fontId="5" fillId="0" borderId="0" xfId="0" applyNumberFormat="1" applyFont="1" applyAlignment="1">
      <alignment horizontal="center" vertical="center"/>
    </xf>
    <xf numFmtId="0" fontId="5" fillId="0" borderId="0" xfId="0" applyFont="1" applyAlignment="1">
      <alignment horizontal="center" vertical="center"/>
    </xf>
    <xf numFmtId="0" fontId="0" fillId="0" borderId="0" xfId="0" applyAlignment="1">
      <alignment vertical="center"/>
    </xf>
    <xf numFmtId="0" fontId="5" fillId="0" borderId="0" xfId="0" applyFont="1" applyAlignment="1">
      <alignment vertical="center" wrapText="1"/>
    </xf>
    <xf numFmtId="165" fontId="5" fillId="0" borderId="0" xfId="1" applyFont="1" applyAlignment="1">
      <alignment horizontal="center" vertical="center"/>
    </xf>
    <xf numFmtId="2" fontId="5" fillId="0" borderId="0" xfId="1" applyNumberFormat="1" applyFont="1" applyAlignment="1">
      <alignment horizontal="center" vertical="center"/>
    </xf>
    <xf numFmtId="0" fontId="5" fillId="0" borderId="0" xfId="0" applyFont="1" applyAlignment="1">
      <alignment vertical="center"/>
    </xf>
    <xf numFmtId="0" fontId="6" fillId="4" borderId="12" xfId="0" applyFont="1" applyFill="1" applyBorder="1" applyAlignment="1">
      <alignment horizontal="center" vertical="center"/>
    </xf>
    <xf numFmtId="0" fontId="6" fillId="0" borderId="0" xfId="0" applyFont="1" applyAlignment="1">
      <alignment vertical="center"/>
    </xf>
    <xf numFmtId="2" fontId="5" fillId="2" borderId="0" xfId="0" applyNumberFormat="1" applyFont="1" applyFill="1" applyAlignment="1">
      <alignment vertical="center" wrapText="1"/>
    </xf>
    <xf numFmtId="0" fontId="5" fillId="2" borderId="7" xfId="0" applyFont="1" applyFill="1" applyBorder="1" applyAlignment="1">
      <alignment horizontal="center" vertical="center" wrapText="1"/>
    </xf>
    <xf numFmtId="0" fontId="5" fillId="0" borderId="7" xfId="0" applyFont="1" applyBorder="1" applyAlignment="1">
      <alignment horizontal="center" vertical="center"/>
    </xf>
    <xf numFmtId="165" fontId="5" fillId="0" borderId="0" xfId="1" applyFont="1" applyBorder="1" applyAlignment="1">
      <alignment horizontal="center" vertical="center"/>
    </xf>
    <xf numFmtId="0" fontId="4" fillId="0" borderId="0" xfId="0" applyFont="1" applyAlignment="1">
      <alignment horizontal="center" vertical="center"/>
    </xf>
    <xf numFmtId="49" fontId="5" fillId="0" borderId="0" xfId="0" applyNumberFormat="1" applyFont="1" applyAlignment="1">
      <alignment horizontal="center" vertical="center"/>
    </xf>
    <xf numFmtId="49" fontId="5" fillId="0" borderId="0" xfId="0" applyNumberFormat="1" applyFont="1" applyAlignment="1">
      <alignment horizontal="center" vertical="center" wrapText="1"/>
    </xf>
    <xf numFmtId="165" fontId="5" fillId="0" borderId="0" xfId="1" applyFont="1" applyBorder="1" applyAlignment="1">
      <alignment horizontal="left" vertical="center"/>
    </xf>
    <xf numFmtId="165" fontId="5" fillId="0" borderId="0" xfId="1" applyFont="1" applyAlignment="1">
      <alignment horizontal="left" vertical="center"/>
    </xf>
    <xf numFmtId="44" fontId="5" fillId="0" borderId="0" xfId="0" applyNumberFormat="1" applyFont="1" applyAlignment="1">
      <alignment vertical="center"/>
    </xf>
    <xf numFmtId="10" fontId="6" fillId="0" borderId="0" xfId="13" applyNumberFormat="1" applyFont="1" applyFill="1" applyAlignment="1">
      <alignment vertical="center"/>
    </xf>
    <xf numFmtId="0" fontId="0" fillId="2" borderId="1" xfId="0" applyFill="1" applyBorder="1"/>
    <xf numFmtId="165" fontId="0" fillId="2" borderId="1" xfId="1" applyFont="1" applyFill="1" applyBorder="1" applyAlignment="1">
      <alignment vertical="center"/>
    </xf>
    <xf numFmtId="10" fontId="0" fillId="2" borderId="1" xfId="13" applyNumberFormat="1" applyFont="1" applyFill="1" applyBorder="1" applyAlignment="1">
      <alignment horizontal="center" vertical="center"/>
    </xf>
    <xf numFmtId="0" fontId="0" fillId="2" borderId="1" xfId="0" applyFill="1" applyBorder="1" applyAlignment="1">
      <alignment wrapText="1"/>
    </xf>
    <xf numFmtId="165" fontId="2" fillId="2" borderId="1" xfId="0" applyNumberFormat="1" applyFont="1" applyFill="1" applyBorder="1" applyAlignment="1">
      <alignment vertical="center"/>
    </xf>
    <xf numFmtId="9" fontId="2" fillId="2" borderId="1" xfId="13" applyFont="1" applyFill="1" applyBorder="1" applyAlignment="1">
      <alignment horizontal="center" vertical="center"/>
    </xf>
    <xf numFmtId="44" fontId="0" fillId="2" borderId="1" xfId="0" applyNumberFormat="1" applyFill="1" applyBorder="1" applyAlignment="1">
      <alignment horizontal="center" vertical="center"/>
    </xf>
    <xf numFmtId="44" fontId="2" fillId="2" borderId="1" xfId="0" applyNumberFormat="1" applyFont="1" applyFill="1" applyBorder="1" applyAlignment="1">
      <alignment vertical="center"/>
    </xf>
    <xf numFmtId="44" fontId="2" fillId="2" borderId="1" xfId="0" applyNumberFormat="1" applyFont="1" applyFill="1" applyBorder="1" applyAlignment="1">
      <alignment horizontal="center" vertical="center"/>
    </xf>
    <xf numFmtId="44" fontId="0" fillId="2" borderId="1" xfId="13" applyNumberFormat="1" applyFont="1" applyFill="1" applyBorder="1" applyAlignment="1">
      <alignment horizontal="center" vertical="center"/>
    </xf>
    <xf numFmtId="10" fontId="0" fillId="2" borderId="19" xfId="0" applyNumberFormat="1" applyFill="1" applyBorder="1" applyAlignment="1">
      <alignment horizontal="center" vertical="center"/>
    </xf>
    <xf numFmtId="0" fontId="0" fillId="2" borderId="12" xfId="0" applyFill="1" applyBorder="1" applyAlignment="1">
      <alignment horizontal="center" vertical="center"/>
    </xf>
    <xf numFmtId="10" fontId="0" fillId="2" borderId="13" xfId="0" applyNumberFormat="1" applyFill="1" applyBorder="1" applyAlignment="1">
      <alignment horizontal="center" vertical="center"/>
    </xf>
    <xf numFmtId="165" fontId="6" fillId="6" borderId="13" xfId="1" applyFont="1" applyFill="1" applyBorder="1" applyAlignment="1">
      <alignment horizontal="center" vertical="center"/>
    </xf>
    <xf numFmtId="165" fontId="6" fillId="6" borderId="13" xfId="1" applyFont="1" applyFill="1" applyBorder="1" applyAlignment="1">
      <alignment horizontal="center" vertical="center" wrapText="1"/>
    </xf>
    <xf numFmtId="165" fontId="6" fillId="6" borderId="13" xfId="0" applyNumberFormat="1" applyFont="1" applyFill="1" applyBorder="1" applyAlignment="1">
      <alignment vertical="center"/>
    </xf>
    <xf numFmtId="165" fontId="6" fillId="6" borderId="13" xfId="0" applyNumberFormat="1" applyFont="1" applyFill="1" applyBorder="1" applyAlignment="1">
      <alignment horizontal="center" vertical="center"/>
    </xf>
    <xf numFmtId="0" fontId="14" fillId="0" borderId="1" xfId="0" applyFont="1" applyBorder="1" applyAlignment="1">
      <alignment horizontal="left" vertical="center" wrapText="1"/>
    </xf>
    <xf numFmtId="0" fontId="4" fillId="0" borderId="1" xfId="0" applyFont="1" applyBorder="1" applyAlignment="1">
      <alignment vertical="center"/>
    </xf>
    <xf numFmtId="0" fontId="4" fillId="0" borderId="0" xfId="0" applyFont="1" applyAlignment="1">
      <alignment vertical="center"/>
    </xf>
    <xf numFmtId="2" fontId="4" fillId="0" borderId="1" xfId="0" applyNumberFormat="1" applyFont="1" applyBorder="1"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horizontal="left" vertical="center" wrapText="1"/>
    </xf>
    <xf numFmtId="0" fontId="4" fillId="2" borderId="1" xfId="0" applyFont="1" applyFill="1" applyBorder="1" applyAlignment="1">
      <alignment vertical="center" wrapText="1"/>
    </xf>
    <xf numFmtId="2" fontId="4" fillId="2" borderId="1" xfId="0" applyNumberFormat="1" applyFont="1" applyFill="1" applyBorder="1" applyAlignment="1">
      <alignment vertical="center" wrapText="1"/>
    </xf>
    <xf numFmtId="0" fontId="13" fillId="4" borderId="1" xfId="0" applyFont="1" applyFill="1" applyBorder="1" applyAlignment="1">
      <alignment horizontal="left" vertical="center"/>
    </xf>
    <xf numFmtId="2" fontId="13" fillId="4" borderId="1" xfId="0" applyNumberFormat="1" applyFont="1" applyFill="1" applyBorder="1" applyAlignment="1">
      <alignment horizontal="center" vertical="center" wrapText="1"/>
    </xf>
    <xf numFmtId="0" fontId="12" fillId="4" borderId="1" xfId="0" applyFont="1" applyFill="1" applyBorder="1" applyAlignment="1">
      <alignment horizontal="left" vertical="center"/>
    </xf>
    <xf numFmtId="0" fontId="15" fillId="4" borderId="1" xfId="0" applyFont="1" applyFill="1" applyBorder="1" applyAlignment="1">
      <alignment horizontal="left" vertical="center" wrapText="1"/>
    </xf>
    <xf numFmtId="0" fontId="13" fillId="4" borderId="1" xfId="0" applyFont="1" applyFill="1" applyBorder="1" applyAlignment="1">
      <alignment horizontal="left" vertical="center" wrapText="1"/>
    </xf>
    <xf numFmtId="0" fontId="13" fillId="4" borderId="1" xfId="0" applyFont="1" applyFill="1" applyBorder="1" applyAlignment="1">
      <alignment horizontal="center" vertical="center" wrapText="1"/>
    </xf>
    <xf numFmtId="0" fontId="13" fillId="0" borderId="1" xfId="0" applyFont="1" applyBorder="1" applyAlignment="1">
      <alignment horizontal="left" vertical="center" wrapText="1"/>
    </xf>
    <xf numFmtId="0" fontId="13" fillId="0" borderId="1" xfId="0" applyFont="1" applyBorder="1" applyAlignment="1">
      <alignment horizontal="center" vertical="center" wrapText="1"/>
    </xf>
    <xf numFmtId="167" fontId="4" fillId="0" borderId="1" xfId="0" applyNumberFormat="1" applyFont="1" applyBorder="1" applyAlignment="1">
      <alignment horizontal="center" vertical="center" wrapText="1"/>
    </xf>
    <xf numFmtId="2" fontId="4" fillId="0" borderId="1" xfId="2" quotePrefix="1" applyNumberFormat="1" applyFont="1" applyFill="1" applyBorder="1" applyAlignment="1">
      <alignment horizontal="center" vertical="center"/>
    </xf>
    <xf numFmtId="167" fontId="4" fillId="0" borderId="1" xfId="2" quotePrefix="1" applyNumberFormat="1" applyFont="1" applyFill="1" applyBorder="1" applyAlignment="1">
      <alignment horizontal="center" vertical="center"/>
    </xf>
    <xf numFmtId="0" fontId="4" fillId="0" borderId="1" xfId="0" applyFont="1" applyBorder="1" applyAlignment="1">
      <alignment horizontal="left" vertical="center"/>
    </xf>
    <xf numFmtId="0" fontId="13" fillId="4" borderId="1" xfId="0" applyFont="1" applyFill="1" applyBorder="1" applyAlignment="1">
      <alignment vertical="center" wrapText="1"/>
    </xf>
    <xf numFmtId="165" fontId="13" fillId="6" borderId="24" xfId="1" applyFont="1" applyFill="1" applyBorder="1" applyAlignment="1">
      <alignment horizontal="center" vertical="center"/>
    </xf>
    <xf numFmtId="0" fontId="5" fillId="0" borderId="42" xfId="0" applyFont="1" applyBorder="1" applyAlignment="1">
      <alignment horizontal="center" vertical="center"/>
    </xf>
    <xf numFmtId="2" fontId="5" fillId="0" borderId="42" xfId="0" applyNumberFormat="1" applyFont="1" applyBorder="1" applyAlignment="1">
      <alignment horizontal="center" vertical="center"/>
    </xf>
    <xf numFmtId="165" fontId="9" fillId="0" borderId="42" xfId="1" applyFont="1" applyBorder="1" applyAlignment="1">
      <alignment horizontal="left" vertical="center"/>
    </xf>
    <xf numFmtId="0" fontId="10" fillId="0" borderId="42" xfId="0" applyFont="1" applyBorder="1" applyAlignment="1">
      <alignment horizontal="left" vertical="center" wrapText="1"/>
    </xf>
    <xf numFmtId="165" fontId="9" fillId="0" borderId="43" xfId="1" applyFont="1" applyBorder="1" applyAlignment="1">
      <alignment horizontal="left" vertical="center"/>
    </xf>
    <xf numFmtId="2" fontId="10" fillId="0" borderId="42" xfId="0" applyNumberFormat="1" applyFont="1" applyBorder="1" applyAlignment="1">
      <alignment horizontal="center" vertical="center"/>
    </xf>
    <xf numFmtId="165" fontId="9" fillId="0" borderId="42" xfId="1" applyFont="1" applyBorder="1" applyAlignment="1">
      <alignment horizontal="left" vertical="center" wrapText="1"/>
    </xf>
    <xf numFmtId="165" fontId="5" fillId="0" borderId="42" xfId="1" applyFont="1" applyBorder="1" applyAlignment="1">
      <alignment horizontal="left" vertical="center"/>
    </xf>
    <xf numFmtId="0" fontId="5" fillId="0" borderId="42" xfId="0" applyFont="1" applyBorder="1" applyAlignment="1">
      <alignment horizontal="center" vertical="center" wrapText="1"/>
    </xf>
    <xf numFmtId="2" fontId="5" fillId="0" borderId="42" xfId="0" applyNumberFormat="1" applyFont="1" applyBorder="1" applyAlignment="1">
      <alignment horizontal="center" vertical="center" wrapText="1"/>
    </xf>
    <xf numFmtId="0" fontId="10" fillId="0" borderId="42" xfId="0" applyFont="1" applyBorder="1" applyAlignment="1">
      <alignment horizontal="center" vertical="center" wrapText="1"/>
    </xf>
    <xf numFmtId="2" fontId="9" fillId="0" borderId="42" xfId="0" applyNumberFormat="1" applyFont="1" applyBorder="1" applyAlignment="1">
      <alignment horizontal="center" vertical="center" wrapText="1"/>
    </xf>
    <xf numFmtId="0" fontId="5" fillId="2" borderId="42" xfId="0" applyFont="1" applyFill="1" applyBorder="1" applyAlignment="1">
      <alignment horizontal="center" vertical="center"/>
    </xf>
    <xf numFmtId="165" fontId="6" fillId="5" borderId="14" xfId="0" applyNumberFormat="1" applyFont="1" applyFill="1" applyBorder="1" applyAlignment="1">
      <alignment vertical="center"/>
    </xf>
    <xf numFmtId="165" fontId="5" fillId="0" borderId="42" xfId="1" applyFont="1" applyFill="1" applyBorder="1" applyAlignment="1">
      <alignment horizontal="left" vertical="center"/>
    </xf>
    <xf numFmtId="2" fontId="5" fillId="2" borderId="42" xfId="0" applyNumberFormat="1" applyFont="1" applyFill="1" applyBorder="1" applyAlignment="1">
      <alignment horizontal="center" vertical="center"/>
    </xf>
    <xf numFmtId="165" fontId="5" fillId="2" borderId="42" xfId="0" applyNumberFormat="1" applyFont="1" applyFill="1" applyBorder="1" applyAlignment="1">
      <alignment horizontal="left" vertical="center"/>
    </xf>
    <xf numFmtId="165" fontId="5" fillId="0" borderId="42" xfId="0" applyNumberFormat="1" applyFont="1" applyBorder="1" applyAlignment="1">
      <alignment horizontal="left" vertical="center"/>
    </xf>
    <xf numFmtId="0" fontId="5" fillId="0" borderId="42" xfId="0" applyFont="1" applyBorder="1" applyAlignment="1">
      <alignment horizontal="left" vertical="center" wrapText="1"/>
    </xf>
    <xf numFmtId="0" fontId="5" fillId="0" borderId="44" xfId="0" applyFont="1" applyBorder="1" applyAlignment="1">
      <alignment horizontal="center" vertical="center"/>
    </xf>
    <xf numFmtId="165" fontId="5" fillId="0" borderId="45" xfId="1" applyFont="1" applyFill="1" applyBorder="1" applyAlignment="1">
      <alignment horizontal="center" vertical="center"/>
    </xf>
    <xf numFmtId="165" fontId="9" fillId="0" borderId="45" xfId="1" applyFont="1" applyBorder="1" applyAlignment="1">
      <alignment horizontal="right" vertical="center" wrapText="1"/>
    </xf>
    <xf numFmtId="165" fontId="5" fillId="0" borderId="45" xfId="1" applyFont="1" applyFill="1" applyBorder="1" applyAlignment="1">
      <alignment horizontal="center" vertical="center" wrapText="1"/>
    </xf>
    <xf numFmtId="0" fontId="5" fillId="2" borderId="44" xfId="0" applyFont="1" applyFill="1" applyBorder="1" applyAlignment="1">
      <alignment horizontal="center" vertical="center"/>
    </xf>
    <xf numFmtId="165" fontId="5" fillId="2" borderId="45" xfId="0" applyNumberFormat="1" applyFont="1" applyFill="1" applyBorder="1" applyAlignment="1">
      <alignment horizontal="center" vertical="center"/>
    </xf>
    <xf numFmtId="165" fontId="5" fillId="0" borderId="45" xfId="0" applyNumberFormat="1" applyFont="1" applyBorder="1" applyAlignment="1">
      <alignment horizontal="center" vertical="center"/>
    </xf>
    <xf numFmtId="165" fontId="5" fillId="0" borderId="45" xfId="0" applyNumberFormat="1" applyFont="1" applyBorder="1" applyAlignment="1">
      <alignment vertical="center"/>
    </xf>
    <xf numFmtId="0" fontId="4" fillId="2" borderId="0" xfId="0" applyFont="1" applyFill="1" applyAlignment="1">
      <alignment vertical="center"/>
    </xf>
    <xf numFmtId="165" fontId="5" fillId="0" borderId="47" xfId="1" applyFont="1" applyBorder="1" applyAlignment="1">
      <alignment horizontal="left" vertical="center"/>
    </xf>
    <xf numFmtId="2" fontId="13" fillId="4" borderId="1" xfId="0" applyNumberFormat="1" applyFont="1" applyFill="1" applyBorder="1" applyAlignment="1">
      <alignment vertical="center"/>
    </xf>
    <xf numFmtId="0" fontId="13" fillId="4" borderId="1" xfId="0" applyFont="1" applyFill="1" applyBorder="1" applyAlignment="1">
      <alignment vertical="center"/>
    </xf>
    <xf numFmtId="2" fontId="5" fillId="0" borderId="0" xfId="1" applyNumberFormat="1" applyFont="1" applyBorder="1" applyAlignment="1">
      <alignment horizontal="center" vertical="center"/>
    </xf>
    <xf numFmtId="0" fontId="14" fillId="0" borderId="1" xfId="0" applyFont="1" applyBorder="1" applyAlignment="1">
      <alignment vertical="center" wrapText="1"/>
    </xf>
    <xf numFmtId="0" fontId="13" fillId="3" borderId="1" xfId="0" applyFont="1" applyFill="1" applyBorder="1" applyAlignment="1">
      <alignment horizontal="left" vertical="center" wrapText="1"/>
    </xf>
    <xf numFmtId="0" fontId="13" fillId="3" borderId="1" xfId="0" applyFont="1" applyFill="1" applyBorder="1" applyAlignment="1">
      <alignment horizontal="center" vertical="center"/>
    </xf>
    <xf numFmtId="2" fontId="13" fillId="3" borderId="1" xfId="0" applyNumberFormat="1" applyFont="1" applyFill="1" applyBorder="1" applyAlignment="1">
      <alignment horizontal="center" vertical="center"/>
    </xf>
    <xf numFmtId="0" fontId="14" fillId="2" borderId="1" xfId="0" applyFont="1" applyFill="1" applyBorder="1" applyAlignment="1">
      <alignment horizontal="left" vertical="center" wrapText="1"/>
    </xf>
    <xf numFmtId="0" fontId="13" fillId="4" borderId="1" xfId="0" applyFont="1" applyFill="1" applyBorder="1" applyAlignment="1">
      <alignment horizontal="center" vertical="center"/>
    </xf>
    <xf numFmtId="0" fontId="4" fillId="0" borderId="1" xfId="0" applyFont="1" applyBorder="1"/>
    <xf numFmtId="0" fontId="12" fillId="3" borderId="1" xfId="0" applyFont="1" applyFill="1" applyBorder="1" applyAlignment="1">
      <alignment horizontal="left" vertical="center" wrapText="1"/>
    </xf>
    <xf numFmtId="0" fontId="4" fillId="3" borderId="1" xfId="0" applyFont="1" applyFill="1" applyBorder="1" applyAlignment="1">
      <alignment horizontal="left" vertical="center" wrapText="1"/>
    </xf>
    <xf numFmtId="0" fontId="13" fillId="3" borderId="1" xfId="0" applyFont="1" applyFill="1" applyBorder="1" applyAlignment="1">
      <alignment horizontal="center" vertical="center" wrapText="1"/>
    </xf>
    <xf numFmtId="0" fontId="5" fillId="2" borderId="7" xfId="0" applyFont="1" applyFill="1" applyBorder="1" applyAlignment="1">
      <alignment horizontal="center" vertical="center"/>
    </xf>
    <xf numFmtId="0" fontId="10" fillId="0" borderId="0" xfId="0" applyFont="1" applyAlignment="1">
      <alignment horizontal="left" vertical="center" wrapText="1"/>
    </xf>
    <xf numFmtId="165" fontId="5" fillId="2" borderId="8" xfId="0" applyNumberFormat="1" applyFont="1" applyFill="1" applyBorder="1" applyAlignment="1">
      <alignment horizontal="center" vertical="center"/>
    </xf>
    <xf numFmtId="165" fontId="5" fillId="0" borderId="21" xfId="0" applyNumberFormat="1" applyFont="1" applyBorder="1" applyAlignment="1">
      <alignment horizontal="center" vertical="center"/>
    </xf>
    <xf numFmtId="0" fontId="5" fillId="0" borderId="44" xfId="0" applyFont="1" applyBorder="1" applyAlignment="1">
      <alignment horizontal="center" vertical="center" wrapText="1"/>
    </xf>
    <xf numFmtId="165" fontId="5" fillId="0" borderId="42" xfId="1" applyFont="1" applyBorder="1" applyAlignment="1">
      <alignment horizontal="left" vertical="center" wrapText="1"/>
    </xf>
    <xf numFmtId="0" fontId="5" fillId="0" borderId="46" xfId="0" applyFont="1" applyBorder="1" applyAlignment="1">
      <alignment horizontal="center" vertical="center" wrapText="1"/>
    </xf>
    <xf numFmtId="0" fontId="10" fillId="0" borderId="51" xfId="0" applyFont="1" applyBorder="1" applyAlignment="1">
      <alignment horizontal="left" vertical="center" wrapText="1"/>
    </xf>
    <xf numFmtId="165" fontId="5" fillId="0" borderId="42" xfId="1" applyFont="1" applyFill="1" applyBorder="1" applyAlignment="1">
      <alignment horizontal="left" vertical="center" wrapText="1"/>
    </xf>
    <xf numFmtId="2" fontId="13" fillId="3" borderId="1" xfId="2" applyNumberFormat="1" applyFont="1" applyFill="1" applyBorder="1" applyAlignment="1">
      <alignment horizontal="center" vertical="center"/>
    </xf>
    <xf numFmtId="0" fontId="4" fillId="0" borderId="20" xfId="0" applyFont="1" applyBorder="1" applyAlignment="1">
      <alignment horizontal="left" vertical="center" wrapText="1"/>
    </xf>
    <xf numFmtId="165" fontId="5" fillId="0" borderId="0" xfId="1" applyFont="1" applyFill="1" applyBorder="1" applyAlignment="1">
      <alignment horizontal="left" vertical="center"/>
    </xf>
    <xf numFmtId="165" fontId="5" fillId="0" borderId="8" xfId="1" applyFont="1" applyFill="1" applyBorder="1" applyAlignment="1">
      <alignment horizontal="center" vertical="center" wrapText="1"/>
    </xf>
    <xf numFmtId="0" fontId="5" fillId="0" borderId="50" xfId="0" applyFont="1" applyBorder="1" applyAlignment="1">
      <alignment horizontal="center" vertical="center"/>
    </xf>
    <xf numFmtId="0" fontId="5" fillId="0" borderId="51" xfId="0" applyFont="1" applyBorder="1" applyAlignment="1">
      <alignment horizontal="center" vertical="center"/>
    </xf>
    <xf numFmtId="2" fontId="5" fillId="0" borderId="51" xfId="0" applyNumberFormat="1" applyFont="1" applyBorder="1" applyAlignment="1">
      <alignment horizontal="center" vertical="center"/>
    </xf>
    <xf numFmtId="165" fontId="5" fillId="0" borderId="51" xfId="1" applyFont="1" applyFill="1" applyBorder="1" applyAlignment="1">
      <alignment horizontal="left" vertical="center"/>
    </xf>
    <xf numFmtId="49" fontId="9" fillId="0" borderId="21" xfId="0" quotePrefix="1" applyNumberFormat="1" applyFont="1" applyBorder="1" applyAlignment="1">
      <alignment horizontal="center" vertical="center" wrapText="1"/>
    </xf>
    <xf numFmtId="165" fontId="9" fillId="0" borderId="0" xfId="1" applyFont="1" applyBorder="1" applyAlignment="1">
      <alignment horizontal="left" vertical="center" wrapText="1"/>
    </xf>
    <xf numFmtId="165" fontId="9" fillId="0" borderId="8" xfId="1" applyFont="1" applyBorder="1" applyAlignment="1">
      <alignment horizontal="right" vertical="center" wrapText="1"/>
    </xf>
    <xf numFmtId="165" fontId="5" fillId="0" borderId="18" xfId="0" applyNumberFormat="1" applyFont="1" applyBorder="1" applyAlignment="1">
      <alignment horizontal="center" vertical="center"/>
    </xf>
    <xf numFmtId="0" fontId="5" fillId="0" borderId="8" xfId="0" applyFont="1" applyBorder="1" applyAlignment="1">
      <alignment horizontal="center" vertical="center"/>
    </xf>
    <xf numFmtId="0" fontId="5" fillId="0" borderId="7" xfId="0" applyFont="1" applyBorder="1" applyAlignment="1">
      <alignment horizontal="center" vertical="center" wrapText="1"/>
    </xf>
    <xf numFmtId="165" fontId="5" fillId="0" borderId="0" xfId="1" applyFont="1" applyBorder="1" applyAlignment="1">
      <alignment horizontal="left" vertical="center" wrapText="1"/>
    </xf>
    <xf numFmtId="0" fontId="13" fillId="0" borderId="0" xfId="0" applyFont="1" applyAlignment="1">
      <alignment horizontal="center" vertical="center"/>
    </xf>
    <xf numFmtId="2" fontId="4" fillId="2" borderId="1" xfId="0" applyNumberFormat="1" applyFont="1" applyFill="1" applyBorder="1" applyAlignment="1">
      <alignment horizontal="center" vertical="center"/>
    </xf>
    <xf numFmtId="165" fontId="9" fillId="0" borderId="22" xfId="1" applyFont="1" applyBorder="1" applyAlignment="1">
      <alignment horizontal="center" vertical="center" wrapText="1"/>
    </xf>
    <xf numFmtId="165" fontId="9" fillId="0" borderId="21" xfId="1" applyFont="1" applyBorder="1" applyAlignment="1">
      <alignment horizontal="center" vertical="center" wrapText="1"/>
    </xf>
    <xf numFmtId="165" fontId="9" fillId="0" borderId="18" xfId="1" applyFont="1" applyBorder="1" applyAlignment="1">
      <alignment horizontal="center" vertical="center" wrapText="1"/>
    </xf>
    <xf numFmtId="165" fontId="9" fillId="0" borderId="0" xfId="1" applyFont="1" applyBorder="1" applyAlignment="1">
      <alignment horizontal="left" vertical="center"/>
    </xf>
    <xf numFmtId="165" fontId="5" fillId="0" borderId="8" xfId="1" applyFont="1" applyFill="1" applyBorder="1" applyAlignment="1">
      <alignment horizontal="center" vertical="center"/>
    </xf>
    <xf numFmtId="0" fontId="13" fillId="0" borderId="0" xfId="0" applyFont="1" applyAlignment="1">
      <alignment vertical="center"/>
    </xf>
    <xf numFmtId="0" fontId="5" fillId="2" borderId="9" xfId="0" applyFont="1" applyFill="1" applyBorder="1" applyAlignment="1">
      <alignment horizontal="center" vertical="center" wrapText="1"/>
    </xf>
    <xf numFmtId="49" fontId="10" fillId="0" borderId="10" xfId="5" applyNumberFormat="1" applyFont="1" applyBorder="1" applyAlignment="1">
      <alignment horizontal="center" vertical="center"/>
    </xf>
    <xf numFmtId="49" fontId="5" fillId="0" borderId="10" xfId="0" applyNumberFormat="1" applyFont="1" applyBorder="1" applyAlignment="1">
      <alignment horizontal="center" vertical="center"/>
    </xf>
    <xf numFmtId="2" fontId="10" fillId="0" borderId="10" xfId="5" applyNumberFormat="1" applyFont="1" applyBorder="1" applyAlignment="1">
      <alignment horizontal="center" vertical="center"/>
    </xf>
    <xf numFmtId="0" fontId="4" fillId="0" borderId="1" xfId="0" applyFont="1" applyBorder="1" applyAlignment="1">
      <alignment horizontal="center" vertical="center"/>
    </xf>
    <xf numFmtId="10" fontId="5" fillId="0" borderId="0" xfId="0" applyNumberFormat="1" applyFont="1" applyAlignment="1">
      <alignment horizontal="center" vertical="center"/>
    </xf>
    <xf numFmtId="2" fontId="13" fillId="3" borderId="1" xfId="1" applyNumberFormat="1" applyFont="1" applyFill="1" applyBorder="1" applyAlignment="1">
      <alignment horizontal="center" vertical="center"/>
    </xf>
    <xf numFmtId="0" fontId="14" fillId="0" borderId="3" xfId="0" applyFont="1" applyBorder="1" applyAlignment="1">
      <alignment horizontal="left" vertical="center" wrapText="1"/>
    </xf>
    <xf numFmtId="0" fontId="4" fillId="0" borderId="3" xfId="0" applyFont="1" applyBorder="1" applyAlignment="1">
      <alignment vertical="center"/>
    </xf>
    <xf numFmtId="0" fontId="13" fillId="3" borderId="3" xfId="0" applyFont="1" applyFill="1" applyBorder="1" applyAlignment="1">
      <alignment horizontal="left" vertical="center" wrapText="1"/>
    </xf>
    <xf numFmtId="0" fontId="4" fillId="0" borderId="3" xfId="0" applyFont="1" applyBorder="1" applyAlignment="1">
      <alignment horizontal="left" vertical="center" wrapText="1"/>
    </xf>
    <xf numFmtId="0" fontId="5" fillId="0" borderId="53" xfId="0" applyFont="1" applyBorder="1" applyAlignment="1">
      <alignment horizontal="center" vertical="center"/>
    </xf>
    <xf numFmtId="0" fontId="5" fillId="0" borderId="47" xfId="0" applyFont="1" applyBorder="1" applyAlignment="1">
      <alignment horizontal="center" vertical="center"/>
    </xf>
    <xf numFmtId="0" fontId="10" fillId="0" borderId="47" xfId="0" applyFont="1" applyBorder="1" applyAlignment="1">
      <alignment horizontal="left" vertical="center" wrapText="1"/>
    </xf>
    <xf numFmtId="2" fontId="5" fillId="0" borderId="47" xfId="0" applyNumberFormat="1" applyFont="1" applyBorder="1" applyAlignment="1">
      <alignment horizontal="center" vertical="center"/>
    </xf>
    <xf numFmtId="165" fontId="5" fillId="0" borderId="47" xfId="1" applyFont="1" applyFill="1" applyBorder="1" applyAlignment="1">
      <alignment horizontal="left" vertical="center"/>
    </xf>
    <xf numFmtId="165" fontId="5" fillId="0" borderId="54" xfId="1" applyFont="1" applyFill="1" applyBorder="1" applyAlignment="1">
      <alignment horizontal="center" vertical="center" wrapText="1"/>
    </xf>
    <xf numFmtId="0" fontId="6" fillId="4" borderId="1" xfId="0" applyFont="1" applyFill="1" applyBorder="1" applyAlignment="1">
      <alignment horizontal="center" vertical="center"/>
    </xf>
    <xf numFmtId="0" fontId="5" fillId="2" borderId="53" xfId="0" applyFont="1" applyFill="1" applyBorder="1" applyAlignment="1">
      <alignment horizontal="center" vertical="center"/>
    </xf>
    <xf numFmtId="0" fontId="5" fillId="2" borderId="47" xfId="0" applyFont="1" applyFill="1" applyBorder="1" applyAlignment="1">
      <alignment horizontal="center" vertical="center"/>
    </xf>
    <xf numFmtId="2" fontId="5" fillId="2" borderId="47" xfId="0" applyNumberFormat="1" applyFont="1" applyFill="1" applyBorder="1" applyAlignment="1">
      <alignment horizontal="center" vertical="center"/>
    </xf>
    <xf numFmtId="165" fontId="5" fillId="2" borderId="47" xfId="0" applyNumberFormat="1" applyFont="1" applyFill="1" applyBorder="1" applyAlignment="1">
      <alignment horizontal="left" vertical="center"/>
    </xf>
    <xf numFmtId="165" fontId="5" fillId="2" borderId="54" xfId="0" applyNumberFormat="1" applyFont="1" applyFill="1" applyBorder="1" applyAlignment="1">
      <alignment horizontal="center" vertical="center"/>
    </xf>
    <xf numFmtId="0" fontId="5" fillId="0" borderId="22" xfId="0" applyFont="1" applyBorder="1" applyAlignment="1">
      <alignment horizontal="center" vertical="center"/>
    </xf>
    <xf numFmtId="0" fontId="5" fillId="0" borderId="21" xfId="0" applyFont="1" applyBorder="1" applyAlignment="1">
      <alignment horizontal="center" vertical="center"/>
    </xf>
    <xf numFmtId="0" fontId="5" fillId="0" borderId="18" xfId="0" applyFont="1" applyBorder="1" applyAlignment="1">
      <alignment horizontal="center" vertical="center"/>
    </xf>
    <xf numFmtId="49" fontId="14" fillId="0" borderId="10" xfId="5" applyNumberFormat="1" applyFont="1" applyBorder="1" applyAlignment="1">
      <alignment horizontal="center" vertical="center" wrapText="1"/>
    </xf>
    <xf numFmtId="49" fontId="14" fillId="0" borderId="0" xfId="5" applyNumberFormat="1" applyFont="1" applyAlignment="1">
      <alignment horizontal="center" vertical="center" wrapText="1"/>
    </xf>
    <xf numFmtId="2" fontId="13" fillId="4" borderId="1" xfId="0" applyNumberFormat="1" applyFont="1" applyFill="1" applyBorder="1" applyAlignment="1">
      <alignment horizontal="center" vertical="center"/>
    </xf>
    <xf numFmtId="2" fontId="4" fillId="0" borderId="1" xfId="1" applyNumberFormat="1" applyFont="1" applyBorder="1" applyAlignment="1">
      <alignment horizontal="center" vertical="center"/>
    </xf>
    <xf numFmtId="2" fontId="4" fillId="0" borderId="20" xfId="1" applyNumberFormat="1" applyFont="1" applyBorder="1" applyAlignment="1">
      <alignment horizontal="center" vertical="center"/>
    </xf>
    <xf numFmtId="2" fontId="4" fillId="0" borderId="1" xfId="0" applyNumberFormat="1" applyFont="1" applyBorder="1" applyAlignment="1">
      <alignment horizontal="center" vertical="center" wrapText="1"/>
    </xf>
    <xf numFmtId="2" fontId="4" fillId="2" borderId="1" xfId="1" applyNumberFormat="1" applyFont="1" applyFill="1" applyBorder="1" applyAlignment="1">
      <alignment horizontal="center" vertical="center"/>
    </xf>
    <xf numFmtId="2" fontId="13" fillId="4" borderId="1" xfId="2" applyNumberFormat="1" applyFont="1" applyFill="1" applyBorder="1" applyAlignment="1">
      <alignment horizontal="center" vertical="center"/>
    </xf>
    <xf numFmtId="2" fontId="4" fillId="0" borderId="1" xfId="2" applyNumberFormat="1" applyFont="1" applyFill="1" applyBorder="1" applyAlignment="1">
      <alignment horizontal="center" vertical="center"/>
    </xf>
    <xf numFmtId="0" fontId="4" fillId="2" borderId="1" xfId="0" applyFont="1" applyFill="1" applyBorder="1" applyAlignment="1">
      <alignment horizontal="center" vertical="center"/>
    </xf>
    <xf numFmtId="2" fontId="10" fillId="0" borderId="47" xfId="0" applyNumberFormat="1" applyFont="1" applyBorder="1" applyAlignment="1">
      <alignment horizontal="center" vertical="center"/>
    </xf>
    <xf numFmtId="165" fontId="9" fillId="0" borderId="47" xfId="1" applyFont="1" applyBorder="1" applyAlignment="1">
      <alignment horizontal="left" vertical="center"/>
    </xf>
    <xf numFmtId="165" fontId="5" fillId="0" borderId="54" xfId="1" applyFont="1" applyFill="1" applyBorder="1" applyAlignment="1">
      <alignment horizontal="center" vertical="center"/>
    </xf>
    <xf numFmtId="0" fontId="5" fillId="0" borderId="47" xfId="0" applyFont="1" applyBorder="1" applyAlignment="1">
      <alignment horizontal="left" vertical="center"/>
    </xf>
    <xf numFmtId="165" fontId="9" fillId="0" borderId="47" xfId="1" applyFont="1" applyBorder="1" applyAlignment="1">
      <alignment horizontal="left" vertical="center" wrapText="1"/>
    </xf>
    <xf numFmtId="165" fontId="9" fillId="0" borderId="54" xfId="1" applyFont="1" applyBorder="1" applyAlignment="1">
      <alignment horizontal="right" vertical="center" wrapText="1"/>
    </xf>
    <xf numFmtId="2" fontId="5" fillId="0" borderId="47" xfId="0" applyNumberFormat="1" applyFont="1" applyBorder="1" applyAlignment="1">
      <alignment horizontal="center" vertical="center" wrapText="1"/>
    </xf>
    <xf numFmtId="0" fontId="10" fillId="0" borderId="47" xfId="0" applyFont="1" applyBorder="1" applyAlignment="1">
      <alignment horizontal="center" vertical="center" wrapText="1"/>
    </xf>
    <xf numFmtId="2" fontId="9" fillId="0" borderId="47" xfId="0" applyNumberFormat="1" applyFont="1" applyBorder="1" applyAlignment="1">
      <alignment horizontal="center" vertical="center" wrapText="1"/>
    </xf>
    <xf numFmtId="0" fontId="5" fillId="0" borderId="47" xfId="0" applyFont="1" applyBorder="1" applyAlignment="1">
      <alignment horizontal="left" vertical="center" wrapText="1"/>
    </xf>
    <xf numFmtId="165" fontId="5" fillId="0" borderId="47" xfId="0" applyNumberFormat="1" applyFont="1" applyBorder="1" applyAlignment="1">
      <alignment horizontal="left" vertical="center"/>
    </xf>
    <xf numFmtId="165" fontId="5" fillId="0" borderId="54" xfId="0" applyNumberFormat="1" applyFont="1" applyBorder="1" applyAlignment="1">
      <alignment vertical="center"/>
    </xf>
    <xf numFmtId="165" fontId="5" fillId="0" borderId="54" xfId="0" applyNumberFormat="1" applyFont="1" applyBorder="1" applyAlignment="1">
      <alignment horizontal="center" vertical="center"/>
    </xf>
    <xf numFmtId="0" fontId="6" fillId="4" borderId="1" xfId="0" applyFont="1" applyFill="1" applyBorder="1" applyAlignment="1">
      <alignment horizontal="center" vertical="center" wrapText="1"/>
    </xf>
    <xf numFmtId="0" fontId="6" fillId="4" borderId="13" xfId="0" applyFont="1" applyFill="1" applyBorder="1" applyAlignment="1">
      <alignment horizontal="center" vertical="center"/>
    </xf>
    <xf numFmtId="0" fontId="13" fillId="6" borderId="12" xfId="0" applyFont="1" applyFill="1" applyBorder="1" applyAlignment="1">
      <alignment horizontal="center" vertical="center"/>
    </xf>
    <xf numFmtId="0" fontId="13" fillId="6" borderId="8" xfId="0" applyFont="1" applyFill="1" applyBorder="1" applyAlignment="1">
      <alignment horizontal="center" vertical="center"/>
    </xf>
    <xf numFmtId="2" fontId="13" fillId="4" borderId="13" xfId="2" applyNumberFormat="1" applyFont="1" applyFill="1" applyBorder="1" applyAlignment="1">
      <alignment horizontal="center" vertical="center"/>
    </xf>
    <xf numFmtId="2" fontId="4" fillId="0" borderId="13" xfId="2" applyNumberFormat="1" applyFont="1" applyFill="1" applyBorder="1" applyAlignment="1">
      <alignment horizontal="center" vertical="center"/>
    </xf>
    <xf numFmtId="2" fontId="4" fillId="0" borderId="13" xfId="0" applyNumberFormat="1" applyFont="1" applyBorder="1" applyAlignment="1">
      <alignment horizontal="center" vertical="center" wrapText="1"/>
    </xf>
    <xf numFmtId="2" fontId="13" fillId="4" borderId="13" xfId="0" applyNumberFormat="1" applyFont="1" applyFill="1" applyBorder="1" applyAlignment="1">
      <alignment horizontal="center" vertical="center"/>
    </xf>
    <xf numFmtId="2" fontId="4" fillId="0" borderId="13" xfId="0" applyNumberFormat="1" applyFont="1" applyBorder="1" applyAlignment="1">
      <alignment horizontal="center" vertical="center"/>
    </xf>
    <xf numFmtId="2" fontId="4" fillId="2" borderId="13" xfId="0" applyNumberFormat="1" applyFont="1" applyFill="1" applyBorder="1" applyAlignment="1">
      <alignment horizontal="center" vertical="center"/>
    </xf>
    <xf numFmtId="0" fontId="13" fillId="6" borderId="13" xfId="0" applyFont="1" applyFill="1" applyBorder="1" applyAlignment="1">
      <alignment horizontal="center" vertical="center"/>
    </xf>
    <xf numFmtId="2" fontId="13" fillId="3" borderId="13" xfId="0" applyNumberFormat="1" applyFont="1" applyFill="1" applyBorder="1" applyAlignment="1">
      <alignment horizontal="center" vertical="center"/>
    </xf>
    <xf numFmtId="2" fontId="4" fillId="3" borderId="13" xfId="0" applyNumberFormat="1" applyFont="1" applyFill="1" applyBorder="1" applyAlignment="1">
      <alignment horizontal="center" vertical="center"/>
    </xf>
    <xf numFmtId="2" fontId="4" fillId="3" borderId="13" xfId="1" applyNumberFormat="1" applyFont="1" applyFill="1" applyBorder="1" applyAlignment="1">
      <alignment horizontal="center" vertical="center"/>
    </xf>
    <xf numFmtId="2" fontId="4" fillId="0" borderId="13" xfId="1" applyNumberFormat="1" applyFont="1" applyBorder="1" applyAlignment="1">
      <alignment horizontal="center" vertical="center"/>
    </xf>
    <xf numFmtId="0" fontId="13" fillId="3" borderId="13" xfId="0" applyFont="1" applyFill="1" applyBorder="1" applyAlignment="1">
      <alignment horizontal="center" vertical="center"/>
    </xf>
    <xf numFmtId="2" fontId="13" fillId="3" borderId="13" xfId="0" applyNumberFormat="1" applyFont="1" applyFill="1" applyBorder="1" applyAlignment="1">
      <alignment horizontal="center" vertical="center" wrapText="1"/>
    </xf>
    <xf numFmtId="2" fontId="4" fillId="2" borderId="13" xfId="1" applyNumberFormat="1" applyFont="1" applyFill="1" applyBorder="1" applyAlignment="1">
      <alignment horizontal="center" vertical="center"/>
    </xf>
    <xf numFmtId="0" fontId="13" fillId="4" borderId="1" xfId="0" applyFont="1" applyFill="1" applyBorder="1"/>
    <xf numFmtId="0" fontId="16" fillId="0" borderId="1" xfId="0" applyFont="1" applyBorder="1" applyAlignment="1">
      <alignment horizontal="left" vertical="center" wrapText="1"/>
    </xf>
    <xf numFmtId="0" fontId="13" fillId="4" borderId="1" xfId="0" applyFont="1" applyFill="1" applyBorder="1" applyAlignment="1">
      <alignment wrapText="1"/>
    </xf>
    <xf numFmtId="2" fontId="4" fillId="0" borderId="13"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4" fillId="0" borderId="2" xfId="0" applyFont="1" applyBorder="1" applyAlignment="1">
      <alignment horizontal="center" vertical="center"/>
    </xf>
    <xf numFmtId="2" fontId="4" fillId="0" borderId="3" xfId="1" applyNumberFormat="1" applyFont="1" applyBorder="1" applyAlignment="1">
      <alignment horizontal="center" vertical="center"/>
    </xf>
    <xf numFmtId="2" fontId="4" fillId="5" borderId="1" xfId="0" applyNumberFormat="1" applyFont="1" applyFill="1" applyBorder="1" applyAlignment="1">
      <alignment horizontal="center" vertical="center"/>
    </xf>
    <xf numFmtId="2" fontId="13" fillId="5" borderId="13" xfId="0" applyNumberFormat="1" applyFont="1" applyFill="1" applyBorder="1" applyAlignment="1">
      <alignment horizontal="center" vertical="center"/>
    </xf>
    <xf numFmtId="0" fontId="13" fillId="5" borderId="1" xfId="0" applyFont="1" applyFill="1" applyBorder="1" applyAlignment="1">
      <alignment vertical="center"/>
    </xf>
    <xf numFmtId="2" fontId="13" fillId="5" borderId="1" xfId="0" applyNumberFormat="1" applyFont="1" applyFill="1" applyBorder="1" applyAlignment="1">
      <alignment horizontal="center" vertical="center"/>
    </xf>
    <xf numFmtId="0" fontId="4" fillId="3" borderId="1" xfId="0" applyFont="1" applyFill="1" applyBorder="1" applyAlignment="1">
      <alignment horizontal="center" vertical="center"/>
    </xf>
    <xf numFmtId="0" fontId="12" fillId="4" borderId="1" xfId="0" applyFont="1" applyFill="1" applyBorder="1"/>
    <xf numFmtId="0" fontId="5" fillId="0" borderId="57" xfId="0" applyFont="1" applyBorder="1" applyAlignment="1">
      <alignment horizontal="center" vertical="center"/>
    </xf>
    <xf numFmtId="0" fontId="12" fillId="4" borderId="1" xfId="0" applyFont="1" applyFill="1" applyBorder="1" applyAlignment="1">
      <alignment vertical="center"/>
    </xf>
    <xf numFmtId="0" fontId="13" fillId="4" borderId="0" xfId="0" applyFont="1" applyFill="1" applyAlignment="1">
      <alignment horizontal="justify" vertical="center"/>
    </xf>
    <xf numFmtId="0" fontId="21" fillId="0" borderId="53" xfId="0" applyFont="1" applyBorder="1" applyAlignment="1">
      <alignment horizontal="center" vertical="center"/>
    </xf>
    <xf numFmtId="0" fontId="21" fillId="0" borderId="44" xfId="0" applyFont="1" applyBorder="1" applyAlignment="1">
      <alignment horizontal="center" vertical="center"/>
    </xf>
    <xf numFmtId="0" fontId="19" fillId="0" borderId="42" xfId="0" applyFont="1" applyBorder="1" applyAlignment="1">
      <alignment horizontal="left" vertical="center" wrapText="1"/>
    </xf>
    <xf numFmtId="0" fontId="22" fillId="4" borderId="1" xfId="0" applyFont="1" applyFill="1" applyBorder="1" applyAlignment="1">
      <alignment vertical="center"/>
    </xf>
    <xf numFmtId="0" fontId="22" fillId="4" borderId="1" xfId="0" applyFont="1" applyFill="1" applyBorder="1" applyAlignment="1">
      <alignment horizontal="center" vertical="center"/>
    </xf>
    <xf numFmtId="2" fontId="22" fillId="4" borderId="13" xfId="0" applyNumberFormat="1" applyFont="1" applyFill="1" applyBorder="1" applyAlignment="1">
      <alignment horizontal="center" vertical="center"/>
    </xf>
    <xf numFmtId="0" fontId="23" fillId="0" borderId="1" xfId="0" applyFont="1" applyBorder="1" applyAlignment="1">
      <alignment horizontal="left" vertical="center" wrapText="1"/>
    </xf>
    <xf numFmtId="0" fontId="23" fillId="0" borderId="1" xfId="0" applyFont="1" applyBorder="1" applyAlignment="1">
      <alignment horizontal="center" vertical="center" wrapText="1"/>
    </xf>
    <xf numFmtId="2" fontId="23" fillId="0" borderId="13" xfId="1" applyNumberFormat="1" applyFont="1" applyBorder="1" applyAlignment="1">
      <alignment horizontal="center" vertical="center"/>
    </xf>
    <xf numFmtId="0" fontId="9" fillId="0" borderId="47" xfId="0" applyFont="1" applyBorder="1" applyAlignment="1">
      <alignment horizontal="left" vertical="center"/>
    </xf>
    <xf numFmtId="0" fontId="9" fillId="0" borderId="47" xfId="0" applyFont="1" applyBorder="1" applyAlignment="1">
      <alignment horizontal="center" vertical="center" wrapText="1"/>
    </xf>
    <xf numFmtId="0" fontId="9" fillId="0" borderId="42" xfId="0" applyFont="1" applyBorder="1" applyAlignment="1">
      <alignment horizontal="center" vertical="center" wrapText="1"/>
    </xf>
    <xf numFmtId="2" fontId="4" fillId="0" borderId="0" xfId="1" applyNumberFormat="1" applyFont="1" applyBorder="1" applyAlignment="1">
      <alignment horizontal="center" vertical="center"/>
    </xf>
    <xf numFmtId="2" fontId="22" fillId="4" borderId="14" xfId="0" applyNumberFormat="1" applyFont="1" applyFill="1" applyBorder="1" applyAlignment="1">
      <alignment horizontal="center" vertical="center"/>
    </xf>
    <xf numFmtId="0" fontId="21" fillId="0" borderId="42" xfId="0" applyFont="1" applyBorder="1" applyAlignment="1">
      <alignment horizontal="center" vertical="center"/>
    </xf>
    <xf numFmtId="2" fontId="21" fillId="0" borderId="42" xfId="0" applyNumberFormat="1" applyFont="1" applyBorder="1" applyAlignment="1">
      <alignment horizontal="center" vertical="center"/>
    </xf>
    <xf numFmtId="2" fontId="18" fillId="0" borderId="42" xfId="0" applyNumberFormat="1" applyFont="1" applyBorder="1" applyAlignment="1">
      <alignment horizontal="center" vertical="center" wrapText="1"/>
    </xf>
    <xf numFmtId="165" fontId="18" fillId="0" borderId="42" xfId="1" applyFont="1" applyBorder="1" applyAlignment="1">
      <alignment horizontal="left" vertical="center" wrapText="1"/>
    </xf>
    <xf numFmtId="165" fontId="18" fillId="0" borderId="45" xfId="1" applyFont="1" applyBorder="1" applyAlignment="1">
      <alignment horizontal="right" vertical="center" wrapText="1"/>
    </xf>
    <xf numFmtId="2" fontId="21" fillId="0" borderId="47" xfId="0" applyNumberFormat="1" applyFont="1" applyBorder="1" applyAlignment="1">
      <alignment horizontal="center" vertical="center"/>
    </xf>
    <xf numFmtId="165" fontId="18" fillId="0" borderId="21" xfId="1" applyFont="1" applyBorder="1" applyAlignment="1">
      <alignment horizontal="center" vertical="center" wrapText="1"/>
    </xf>
    <xf numFmtId="165" fontId="21" fillId="0" borderId="42" xfId="1" applyFont="1" applyBorder="1" applyAlignment="1">
      <alignment horizontal="left" vertical="center" wrapText="1"/>
    </xf>
    <xf numFmtId="165" fontId="21" fillId="0" borderId="42" xfId="1" applyFont="1" applyBorder="1" applyAlignment="1">
      <alignment horizontal="left" vertical="center"/>
    </xf>
    <xf numFmtId="165" fontId="21" fillId="0" borderId="47" xfId="1" applyFont="1" applyBorder="1" applyAlignment="1">
      <alignment horizontal="left" vertical="center"/>
    </xf>
    <xf numFmtId="2" fontId="4" fillId="0" borderId="3" xfId="2" applyNumberFormat="1" applyFont="1" applyFill="1" applyBorder="1" applyAlignment="1">
      <alignment horizontal="center" vertical="center"/>
    </xf>
    <xf numFmtId="0" fontId="5" fillId="0" borderId="0" xfId="0" applyFont="1" applyAlignment="1">
      <alignment horizontal="center" vertical="center" wrapText="1"/>
    </xf>
    <xf numFmtId="165" fontId="5" fillId="0" borderId="0" xfId="1" applyFont="1" applyFill="1" applyBorder="1" applyAlignment="1">
      <alignment vertical="center"/>
    </xf>
    <xf numFmtId="165" fontId="5" fillId="0" borderId="8" xfId="1" applyFont="1" applyFill="1" applyBorder="1" applyAlignment="1">
      <alignment vertical="center"/>
    </xf>
    <xf numFmtId="0" fontId="9" fillId="0" borderId="0" xfId="0" quotePrefix="1" applyFont="1" applyAlignment="1">
      <alignment horizontal="center" vertical="center"/>
    </xf>
    <xf numFmtId="0" fontId="9" fillId="0" borderId="0" xfId="0" quotePrefix="1" applyFont="1" applyAlignment="1">
      <alignment horizontal="left" vertical="center"/>
    </xf>
    <xf numFmtId="2" fontId="10" fillId="0" borderId="0" xfId="0" applyNumberFormat="1" applyFont="1" applyAlignment="1">
      <alignment horizontal="center" vertical="center"/>
    </xf>
    <xf numFmtId="0" fontId="9" fillId="0" borderId="0" xfId="0" quotePrefix="1" applyFont="1" applyAlignment="1">
      <alignment horizontal="center" vertical="center" wrapText="1"/>
    </xf>
    <xf numFmtId="2" fontId="9" fillId="0" borderId="0" xfId="0" applyNumberFormat="1" applyFont="1" applyAlignment="1">
      <alignment horizontal="center" vertical="center" wrapText="1"/>
    </xf>
    <xf numFmtId="0" fontId="5" fillId="0" borderId="0" xfId="0" quotePrefix="1" applyFont="1" applyAlignment="1">
      <alignment horizontal="center" vertical="center" wrapText="1"/>
    </xf>
    <xf numFmtId="2" fontId="5" fillId="0" borderId="0" xfId="0" applyNumberFormat="1" applyFont="1" applyAlignment="1">
      <alignment horizontal="center" vertical="center" wrapText="1"/>
    </xf>
    <xf numFmtId="0" fontId="5" fillId="0" borderId="0" xfId="0" quotePrefix="1" applyFont="1" applyAlignment="1">
      <alignment horizontal="center" vertical="center"/>
    </xf>
    <xf numFmtId="2" fontId="21" fillId="0" borderId="0" xfId="0" applyNumberFormat="1" applyFont="1" applyAlignment="1">
      <alignment horizontal="center" vertical="center"/>
    </xf>
    <xf numFmtId="0" fontId="5" fillId="2" borderId="0" xfId="0" applyFont="1" applyFill="1" applyAlignment="1">
      <alignment horizontal="center" vertical="center"/>
    </xf>
    <xf numFmtId="49" fontId="5" fillId="2" borderId="0" xfId="0" applyNumberFormat="1" applyFont="1" applyFill="1" applyAlignment="1">
      <alignment horizontal="center" vertical="center"/>
    </xf>
    <xf numFmtId="165" fontId="5" fillId="2" borderId="0" xfId="0" applyNumberFormat="1" applyFont="1" applyFill="1" applyAlignment="1">
      <alignment horizontal="left" vertical="center"/>
    </xf>
    <xf numFmtId="0" fontId="5" fillId="0" borderId="0" xfId="0" applyFont="1" applyAlignment="1">
      <alignment horizontal="left" vertical="center" wrapText="1"/>
    </xf>
    <xf numFmtId="49" fontId="10" fillId="0" borderId="0" xfId="5" applyNumberFormat="1" applyFont="1" applyAlignment="1">
      <alignment horizontal="center" vertical="center"/>
    </xf>
    <xf numFmtId="2" fontId="10" fillId="0" borderId="0" xfId="5" applyNumberFormat="1" applyFont="1" applyAlignment="1">
      <alignment horizontal="center" vertical="center"/>
    </xf>
    <xf numFmtId="2" fontId="4" fillId="0" borderId="2" xfId="0" applyNumberFormat="1" applyFont="1" applyBorder="1" applyAlignment="1">
      <alignment horizontal="center" vertical="center"/>
    </xf>
    <xf numFmtId="2" fontId="4" fillId="0" borderId="3" xfId="0" applyNumberFormat="1" applyFont="1" applyBorder="1" applyAlignment="1">
      <alignment horizontal="center" vertical="center"/>
    </xf>
    <xf numFmtId="0" fontId="24" fillId="0" borderId="0" xfId="0" applyFont="1" applyAlignment="1">
      <alignment vertical="center"/>
    </xf>
    <xf numFmtId="0" fontId="13" fillId="6" borderId="63" xfId="0" applyFont="1" applyFill="1" applyBorder="1" applyAlignment="1">
      <alignment horizontal="center" vertical="center"/>
    </xf>
    <xf numFmtId="0" fontId="13" fillId="6" borderId="9" xfId="0" applyFont="1" applyFill="1" applyBorder="1" applyAlignment="1">
      <alignment horizontal="center" vertical="center"/>
    </xf>
    <xf numFmtId="0" fontId="13" fillId="6" borderId="11" xfId="0" applyFont="1" applyFill="1" applyBorder="1" applyAlignment="1">
      <alignment horizontal="center" vertical="center" wrapText="1"/>
    </xf>
    <xf numFmtId="2" fontId="13" fillId="6" borderId="63" xfId="0" applyNumberFormat="1" applyFont="1" applyFill="1" applyBorder="1" applyAlignment="1">
      <alignment horizontal="center" vertical="center"/>
    </xf>
    <xf numFmtId="165" fontId="13" fillId="6" borderId="10" xfId="1" applyFont="1" applyFill="1" applyBorder="1" applyAlignment="1">
      <alignment horizontal="center" vertical="center"/>
    </xf>
    <xf numFmtId="165" fontId="13" fillId="6" borderId="63" xfId="1" applyFont="1" applyFill="1" applyBorder="1" applyAlignment="1">
      <alignment horizontal="center" vertical="center"/>
    </xf>
    <xf numFmtId="165" fontId="13" fillId="6" borderId="11" xfId="1" applyFont="1" applyFill="1" applyBorder="1" applyAlignment="1">
      <alignment horizontal="center" vertical="center"/>
    </xf>
    <xf numFmtId="2" fontId="13" fillId="7" borderId="1" xfId="0" applyNumberFormat="1" applyFont="1" applyFill="1" applyBorder="1" applyAlignment="1">
      <alignment horizontal="center" vertical="center"/>
    </xf>
    <xf numFmtId="0" fontId="13" fillId="6" borderId="37"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28" xfId="0" applyFont="1" applyFill="1" applyBorder="1" applyAlignment="1">
      <alignment horizontal="center" vertical="center" wrapText="1"/>
    </xf>
    <xf numFmtId="2" fontId="13" fillId="6" borderId="23" xfId="0" applyNumberFormat="1" applyFont="1" applyFill="1" applyBorder="1" applyAlignment="1">
      <alignment horizontal="center" vertical="center"/>
    </xf>
    <xf numFmtId="165" fontId="6" fillId="5" borderId="32" xfId="0" applyNumberFormat="1" applyFont="1" applyFill="1" applyBorder="1" applyAlignment="1">
      <alignment vertical="center"/>
    </xf>
    <xf numFmtId="0" fontId="21" fillId="0" borderId="0" xfId="0" applyFont="1" applyAlignment="1">
      <alignment vertical="center"/>
    </xf>
    <xf numFmtId="165" fontId="21" fillId="0" borderId="0" xfId="1" applyFont="1" applyAlignment="1">
      <alignment horizontal="left" vertical="center"/>
    </xf>
    <xf numFmtId="49" fontId="21" fillId="0" borderId="0" xfId="0" applyNumberFormat="1" applyFont="1" applyAlignment="1">
      <alignment horizontal="center" vertical="center"/>
    </xf>
    <xf numFmtId="0" fontId="21" fillId="0" borderId="0" xfId="0" applyFont="1" applyAlignment="1">
      <alignment horizontal="center" vertical="center"/>
    </xf>
    <xf numFmtId="2" fontId="26" fillId="0" borderId="0" xfId="5" applyNumberFormat="1" applyFont="1" applyAlignment="1">
      <alignment horizontal="center" vertical="center"/>
    </xf>
    <xf numFmtId="49" fontId="26" fillId="0" borderId="0" xfId="5" applyNumberFormat="1" applyFont="1" applyAlignment="1">
      <alignment horizontal="center" vertical="center" wrapText="1"/>
    </xf>
    <xf numFmtId="49" fontId="19" fillId="0" borderId="0" xfId="5" applyNumberFormat="1" applyFont="1" applyAlignment="1">
      <alignment horizontal="center" vertical="center"/>
    </xf>
    <xf numFmtId="0" fontId="27" fillId="0" borderId="0" xfId="0" applyFont="1" applyAlignment="1">
      <alignment vertical="center" wrapText="1"/>
    </xf>
    <xf numFmtId="49" fontId="21" fillId="2" borderId="0" xfId="0" applyNumberFormat="1" applyFont="1" applyFill="1" applyAlignment="1">
      <alignment horizontal="center" vertical="center" wrapText="1"/>
    </xf>
    <xf numFmtId="2" fontId="27" fillId="2" borderId="0" xfId="0" applyNumberFormat="1" applyFont="1" applyFill="1" applyAlignment="1">
      <alignment vertical="center" wrapText="1"/>
    </xf>
    <xf numFmtId="165" fontId="21" fillId="2" borderId="5" xfId="1" applyFont="1" applyFill="1" applyBorder="1" applyAlignment="1">
      <alignment horizontal="left" vertical="center"/>
    </xf>
    <xf numFmtId="2" fontId="20" fillId="0" borderId="5" xfId="0" applyNumberFormat="1" applyFont="1" applyBorder="1" applyAlignment="1">
      <alignment horizontal="center" vertical="center"/>
    </xf>
    <xf numFmtId="2" fontId="21" fillId="2" borderId="5" xfId="0" applyNumberFormat="1" applyFont="1" applyFill="1" applyBorder="1" applyAlignment="1">
      <alignment vertical="center"/>
    </xf>
    <xf numFmtId="49" fontId="21" fillId="2" borderId="5" xfId="0" applyNumberFormat="1" applyFont="1" applyFill="1" applyBorder="1" applyAlignment="1">
      <alignment horizontal="center" vertical="center"/>
    </xf>
    <xf numFmtId="2" fontId="21" fillId="2" borderId="5" xfId="0" applyNumberFormat="1" applyFont="1" applyFill="1" applyBorder="1" applyAlignment="1">
      <alignment horizontal="center" vertical="center"/>
    </xf>
    <xf numFmtId="2" fontId="21" fillId="2" borderId="4" xfId="0" applyNumberFormat="1" applyFont="1" applyFill="1" applyBorder="1" applyAlignment="1">
      <alignment horizontal="center" vertical="center"/>
    </xf>
    <xf numFmtId="165" fontId="20" fillId="0" borderId="10" xfId="1" applyFont="1" applyBorder="1" applyAlignment="1">
      <alignment horizontal="left" vertical="center"/>
    </xf>
    <xf numFmtId="2" fontId="20" fillId="0" borderId="10" xfId="0" applyNumberFormat="1" applyFont="1" applyBorder="1" applyAlignment="1">
      <alignment horizontal="center" vertical="center"/>
    </xf>
    <xf numFmtId="2" fontId="21" fillId="2" borderId="10" xfId="0" applyNumberFormat="1" applyFont="1" applyFill="1" applyBorder="1" applyAlignment="1">
      <alignment vertical="center"/>
    </xf>
    <xf numFmtId="49" fontId="21" fillId="2" borderId="10" xfId="0" applyNumberFormat="1" applyFont="1" applyFill="1" applyBorder="1" applyAlignment="1">
      <alignment horizontal="center" vertical="center"/>
    </xf>
    <xf numFmtId="2" fontId="21" fillId="2" borderId="10" xfId="0" applyNumberFormat="1" applyFont="1" applyFill="1" applyBorder="1" applyAlignment="1">
      <alignment horizontal="center" vertical="center"/>
    </xf>
    <xf numFmtId="2" fontId="21" fillId="2" borderId="9" xfId="0" applyNumberFormat="1" applyFont="1" applyFill="1" applyBorder="1" applyAlignment="1">
      <alignment horizontal="center" vertical="center"/>
    </xf>
    <xf numFmtId="165" fontId="20" fillId="0" borderId="0" xfId="1" applyFont="1" applyAlignment="1">
      <alignment horizontal="left" vertical="center"/>
    </xf>
    <xf numFmtId="2" fontId="20" fillId="0" borderId="0" xfId="0" applyNumberFormat="1" applyFont="1" applyAlignment="1">
      <alignment horizontal="center" vertical="center"/>
    </xf>
    <xf numFmtId="165" fontId="22" fillId="0" borderId="15" xfId="1" applyFont="1" applyBorder="1" applyAlignment="1">
      <alignment horizontal="right" vertical="center"/>
    </xf>
    <xf numFmtId="165" fontId="21" fillId="0" borderId="15" xfId="1" applyFont="1" applyBorder="1" applyAlignment="1">
      <alignment horizontal="left" vertical="center"/>
    </xf>
    <xf numFmtId="2" fontId="21" fillId="0" borderId="15" xfId="0" applyNumberFormat="1" applyFont="1" applyBorder="1" applyAlignment="1">
      <alignment horizontal="center" vertical="center"/>
    </xf>
    <xf numFmtId="2" fontId="21" fillId="2" borderId="15" xfId="0" applyNumberFormat="1" applyFont="1" applyFill="1" applyBorder="1" applyAlignment="1">
      <alignment vertical="center"/>
    </xf>
    <xf numFmtId="49" fontId="21" fillId="2" borderId="15" xfId="0" applyNumberFormat="1" applyFont="1" applyFill="1" applyBorder="1" applyAlignment="1">
      <alignment horizontal="center" vertical="center"/>
    </xf>
    <xf numFmtId="2" fontId="21" fillId="2" borderId="15" xfId="0" applyNumberFormat="1" applyFont="1" applyFill="1" applyBorder="1" applyAlignment="1">
      <alignment horizontal="center" vertical="center"/>
    </xf>
    <xf numFmtId="2" fontId="21" fillId="2" borderId="16" xfId="0" applyNumberFormat="1" applyFont="1" applyFill="1" applyBorder="1" applyAlignment="1">
      <alignment horizontal="center" vertical="center"/>
    </xf>
    <xf numFmtId="165" fontId="22" fillId="0" borderId="8" xfId="1" applyFont="1" applyBorder="1" applyAlignment="1">
      <alignment horizontal="center" vertical="center"/>
    </xf>
    <xf numFmtId="165" fontId="22" fillId="0" borderId="0" xfId="1" applyFont="1" applyAlignment="1">
      <alignment horizontal="right" vertical="center"/>
    </xf>
    <xf numFmtId="2" fontId="21" fillId="2" borderId="0" xfId="0" applyNumberFormat="1" applyFont="1" applyFill="1" applyAlignment="1">
      <alignment vertical="center"/>
    </xf>
    <xf numFmtId="49" fontId="21" fillId="2" borderId="0" xfId="0" applyNumberFormat="1" applyFont="1" applyFill="1" applyAlignment="1">
      <alignment horizontal="center" vertical="center"/>
    </xf>
    <xf numFmtId="2" fontId="21" fillId="2" borderId="0" xfId="0" applyNumberFormat="1" applyFont="1" applyFill="1" applyAlignment="1">
      <alignment horizontal="center" vertical="center"/>
    </xf>
    <xf numFmtId="2" fontId="21" fillId="2" borderId="7" xfId="0" applyNumberFormat="1" applyFont="1" applyFill="1" applyBorder="1" applyAlignment="1">
      <alignment horizontal="center" vertical="center"/>
    </xf>
    <xf numFmtId="165" fontId="22" fillId="0" borderId="0" xfId="1" applyFont="1" applyBorder="1" applyAlignment="1">
      <alignment horizontal="right" vertical="center"/>
    </xf>
    <xf numFmtId="165" fontId="21" fillId="2" borderId="0" xfId="1" applyFont="1" applyFill="1" applyBorder="1" applyAlignment="1">
      <alignment horizontal="left" vertical="center"/>
    </xf>
    <xf numFmtId="165" fontId="21" fillId="2" borderId="8" xfId="0" applyNumberFormat="1" applyFont="1" applyFill="1" applyBorder="1" applyAlignment="1">
      <alignment vertical="center"/>
    </xf>
    <xf numFmtId="0" fontId="21" fillId="0" borderId="64" xfId="0" applyFont="1" applyBorder="1" applyAlignment="1">
      <alignment vertical="center"/>
    </xf>
    <xf numFmtId="0" fontId="21" fillId="0" borderId="65" xfId="0" applyFont="1" applyBorder="1" applyAlignment="1">
      <alignment vertical="center"/>
    </xf>
    <xf numFmtId="2" fontId="27" fillId="0" borderId="0" xfId="0" applyNumberFormat="1" applyFont="1" applyAlignment="1">
      <alignment horizontal="center" vertical="center"/>
    </xf>
    <xf numFmtId="2" fontId="4" fillId="0" borderId="67" xfId="0" applyNumberFormat="1" applyFont="1" applyBorder="1" applyAlignment="1">
      <alignment horizontal="center" vertical="center"/>
    </xf>
    <xf numFmtId="0" fontId="13" fillId="7" borderId="1" xfId="0" applyFont="1" applyFill="1" applyBorder="1" applyAlignment="1">
      <alignment horizontal="center" vertical="center" wrapText="1"/>
    </xf>
    <xf numFmtId="0" fontId="9" fillId="0" borderId="58" xfId="0" applyFont="1" applyBorder="1" applyAlignment="1">
      <alignment horizontal="center" vertical="center"/>
    </xf>
    <xf numFmtId="0" fontId="15" fillId="8" borderId="1" xfId="0" applyFont="1" applyFill="1" applyBorder="1" applyAlignment="1">
      <alignment wrapText="1"/>
    </xf>
    <xf numFmtId="0" fontId="16" fillId="0" borderId="3" xfId="0" applyFont="1" applyBorder="1" applyAlignment="1">
      <alignment wrapText="1"/>
    </xf>
    <xf numFmtId="0" fontId="16" fillId="0" borderId="28" xfId="0" applyFont="1" applyBorder="1" applyAlignment="1">
      <alignment wrapText="1"/>
    </xf>
    <xf numFmtId="0" fontId="16" fillId="0" borderId="25" xfId="0" applyFont="1" applyBorder="1" applyAlignment="1">
      <alignment horizontal="center"/>
    </xf>
    <xf numFmtId="0" fontId="16" fillId="0" borderId="18" xfId="0" applyFont="1" applyBorder="1" applyAlignment="1">
      <alignment horizontal="center"/>
    </xf>
    <xf numFmtId="0" fontId="15" fillId="8" borderId="25" xfId="0" applyFont="1" applyFill="1" applyBorder="1" applyAlignment="1">
      <alignment horizontal="center"/>
    </xf>
    <xf numFmtId="2" fontId="4" fillId="0" borderId="25" xfId="0" applyNumberFormat="1" applyFont="1" applyBorder="1" applyAlignment="1">
      <alignment horizontal="center" vertical="center"/>
    </xf>
    <xf numFmtId="2" fontId="4" fillId="0" borderId="26" xfId="0" applyNumberFormat="1" applyFont="1" applyBorder="1" applyAlignment="1">
      <alignment horizontal="center" vertical="center"/>
    </xf>
    <xf numFmtId="2" fontId="13" fillId="4" borderId="23" xfId="2" applyNumberFormat="1" applyFont="1" applyFill="1" applyBorder="1" applyAlignment="1">
      <alignment horizontal="center" vertical="center"/>
    </xf>
    <xf numFmtId="2" fontId="4" fillId="0" borderId="32" xfId="0" applyNumberFormat="1" applyFont="1" applyBorder="1" applyAlignment="1">
      <alignment horizontal="center" vertical="center"/>
    </xf>
    <xf numFmtId="0" fontId="14" fillId="0" borderId="71" xfId="0" applyFont="1" applyBorder="1" applyAlignment="1">
      <alignment horizontal="left" vertical="center" wrapText="1"/>
    </xf>
    <xf numFmtId="0" fontId="28" fillId="0" borderId="71" xfId="0" applyFont="1" applyBorder="1" applyAlignment="1">
      <alignment horizontal="left" vertical="center" wrapText="1"/>
    </xf>
    <xf numFmtId="0" fontId="4" fillId="0" borderId="71" xfId="0" applyFont="1" applyBorder="1"/>
    <xf numFmtId="0" fontId="14" fillId="2" borderId="71" xfId="0" applyFont="1" applyFill="1" applyBorder="1" applyAlignment="1">
      <alignment horizontal="left" vertical="center" wrapText="1"/>
    </xf>
    <xf numFmtId="0" fontId="4" fillId="0" borderId="71" xfId="0" applyFont="1" applyBorder="1" applyAlignment="1">
      <alignment vertical="center"/>
    </xf>
    <xf numFmtId="0" fontId="13" fillId="9" borderId="1" xfId="0" applyFont="1" applyFill="1" applyBorder="1" applyAlignment="1">
      <alignment vertical="center"/>
    </xf>
    <xf numFmtId="2" fontId="13" fillId="4" borderId="23" xfId="0" applyNumberFormat="1" applyFont="1" applyFill="1" applyBorder="1" applyAlignment="1">
      <alignment horizontal="center" vertical="center"/>
    </xf>
    <xf numFmtId="169" fontId="4" fillId="0" borderId="32" xfId="0" applyNumberFormat="1" applyFont="1" applyBorder="1" applyAlignment="1">
      <alignment horizontal="center" vertical="center"/>
    </xf>
    <xf numFmtId="0" fontId="4" fillId="0" borderId="26" xfId="0" applyFont="1" applyBorder="1" applyAlignment="1">
      <alignment horizontal="center" vertical="center"/>
    </xf>
    <xf numFmtId="0" fontId="4" fillId="0" borderId="32" xfId="0" applyFont="1" applyBorder="1" applyAlignment="1">
      <alignment horizontal="center" vertical="center"/>
    </xf>
    <xf numFmtId="2" fontId="4" fillId="0" borderId="72" xfId="0" applyNumberFormat="1" applyFont="1" applyBorder="1" applyAlignment="1">
      <alignment horizontal="center" vertical="center"/>
    </xf>
    <xf numFmtId="2" fontId="4" fillId="0" borderId="49" xfId="0" applyNumberFormat="1" applyFont="1" applyBorder="1" applyAlignment="1">
      <alignment horizontal="center" vertical="center"/>
    </xf>
    <xf numFmtId="2" fontId="4" fillId="0" borderId="31" xfId="0" applyNumberFormat="1" applyFont="1" applyBorder="1" applyAlignment="1">
      <alignment horizontal="center" vertical="center"/>
    </xf>
    <xf numFmtId="169" fontId="4" fillId="0" borderId="1" xfId="0" applyNumberFormat="1" applyFont="1" applyBorder="1" applyAlignment="1">
      <alignment horizontal="center" vertical="center"/>
    </xf>
    <xf numFmtId="0" fontId="4" fillId="0" borderId="71" xfId="0" applyFont="1" applyBorder="1" applyAlignment="1">
      <alignment horizontal="left" vertical="center" wrapText="1"/>
    </xf>
    <xf numFmtId="0" fontId="29" fillId="0" borderId="1" xfId="0" applyFont="1" applyBorder="1" applyAlignment="1">
      <alignment horizontal="left" vertical="center" wrapText="1"/>
    </xf>
    <xf numFmtId="2" fontId="22" fillId="5" borderId="1" xfId="0" applyNumberFormat="1" applyFont="1" applyFill="1" applyBorder="1" applyAlignment="1">
      <alignment horizontal="center" vertical="center"/>
    </xf>
    <xf numFmtId="2" fontId="22" fillId="5" borderId="13" xfId="0" applyNumberFormat="1" applyFont="1" applyFill="1" applyBorder="1" applyAlignment="1">
      <alignment horizontal="center" vertical="center"/>
    </xf>
    <xf numFmtId="0" fontId="15" fillId="5" borderId="1" xfId="0" applyFont="1" applyFill="1" applyBorder="1" applyAlignment="1">
      <alignment vertical="center"/>
    </xf>
    <xf numFmtId="0" fontId="16" fillId="0" borderId="1" xfId="0" applyFont="1" applyBorder="1" applyAlignment="1">
      <alignment vertical="center"/>
    </xf>
    <xf numFmtId="0" fontId="16" fillId="0" borderId="71" xfId="0" applyFont="1" applyBorder="1" applyAlignment="1">
      <alignment vertical="center"/>
    </xf>
    <xf numFmtId="2" fontId="4" fillId="0" borderId="25" xfId="0" applyNumberFormat="1" applyFont="1" applyBorder="1" applyAlignment="1">
      <alignment horizontal="center" vertical="center" wrapText="1"/>
    </xf>
    <xf numFmtId="2" fontId="13" fillId="4" borderId="26" xfId="2" applyNumberFormat="1" applyFont="1" applyFill="1" applyBorder="1" applyAlignment="1">
      <alignment horizontal="center" vertical="center"/>
    </xf>
    <xf numFmtId="2" fontId="13" fillId="4" borderId="72" xfId="2" applyNumberFormat="1" applyFont="1" applyFill="1" applyBorder="1" applyAlignment="1">
      <alignment horizontal="center" vertical="center"/>
    </xf>
    <xf numFmtId="2" fontId="4" fillId="0" borderId="32" xfId="0" applyNumberFormat="1" applyFont="1" applyBorder="1" applyAlignment="1">
      <alignment horizontal="center" vertical="center" wrapText="1"/>
    </xf>
    <xf numFmtId="2" fontId="16" fillId="0" borderId="32" xfId="0" applyNumberFormat="1" applyFont="1" applyBorder="1" applyAlignment="1">
      <alignment horizontal="center" vertical="center"/>
    </xf>
    <xf numFmtId="2" fontId="13" fillId="4" borderId="26" xfId="0" applyNumberFormat="1" applyFont="1" applyFill="1" applyBorder="1" applyAlignment="1">
      <alignment horizontal="center" vertical="center"/>
    </xf>
    <xf numFmtId="2" fontId="16" fillId="0" borderId="52" xfId="0" applyNumberFormat="1" applyFont="1" applyBorder="1" applyAlignment="1">
      <alignment horizontal="center" vertical="center"/>
    </xf>
    <xf numFmtId="0" fontId="29" fillId="0" borderId="0" xfId="0" applyFont="1"/>
    <xf numFmtId="0" fontId="29" fillId="0" borderId="1" xfId="0" applyFont="1" applyBorder="1" applyAlignment="1">
      <alignment vertical="center"/>
    </xf>
    <xf numFmtId="0" fontId="29" fillId="0" borderId="71" xfId="0" applyFont="1" applyBorder="1" applyAlignment="1">
      <alignment vertical="center"/>
    </xf>
    <xf numFmtId="0" fontId="16" fillId="0" borderId="0" xfId="0" applyFont="1"/>
    <xf numFmtId="0" fontId="16" fillId="0" borderId="1" xfId="0" applyFont="1" applyBorder="1" applyAlignment="1">
      <alignment horizontal="left" vertical="center"/>
    </xf>
    <xf numFmtId="2" fontId="16" fillId="0" borderId="26" xfId="0" applyNumberFormat="1" applyFont="1" applyBorder="1" applyAlignment="1">
      <alignment horizontal="center" vertical="center"/>
    </xf>
    <xf numFmtId="2" fontId="16" fillId="0" borderId="1" xfId="0" applyNumberFormat="1" applyFont="1" applyBorder="1" applyAlignment="1">
      <alignment horizontal="center" vertical="center"/>
    </xf>
    <xf numFmtId="2" fontId="16" fillId="0" borderId="3" xfId="0" applyNumberFormat="1" applyFont="1" applyBorder="1" applyAlignment="1">
      <alignment horizontal="center" vertical="center"/>
    </xf>
    <xf numFmtId="2" fontId="22" fillId="9" borderId="1" xfId="2" applyNumberFormat="1" applyFont="1" applyFill="1" applyBorder="1" applyAlignment="1">
      <alignment horizontal="center" vertical="center"/>
    </xf>
    <xf numFmtId="2" fontId="4" fillId="0" borderId="32" xfId="1" applyNumberFormat="1" applyFont="1" applyBorder="1" applyAlignment="1">
      <alignment horizontal="center" vertical="center"/>
    </xf>
    <xf numFmtId="2" fontId="22" fillId="9" borderId="26" xfId="2" applyNumberFormat="1" applyFont="1" applyFill="1" applyBorder="1" applyAlignment="1">
      <alignment horizontal="center" vertical="center"/>
    </xf>
    <xf numFmtId="0" fontId="24" fillId="8" borderId="1" xfId="0" applyFont="1" applyFill="1" applyBorder="1"/>
    <xf numFmtId="0" fontId="24" fillId="8" borderId="1" xfId="0" applyFont="1" applyFill="1" applyBorder="1" applyAlignment="1">
      <alignment wrapText="1"/>
    </xf>
    <xf numFmtId="165" fontId="18" fillId="0" borderId="54" xfId="1" applyFont="1" applyBorder="1" applyAlignment="1">
      <alignment horizontal="right" vertical="center" wrapText="1"/>
    </xf>
    <xf numFmtId="0" fontId="16" fillId="0" borderId="1" xfId="0" applyFont="1" applyBorder="1"/>
    <xf numFmtId="0" fontId="18" fillId="0" borderId="42" xfId="0" applyFont="1" applyBorder="1" applyAlignment="1">
      <alignment horizontal="left" vertical="center" wrapText="1"/>
    </xf>
    <xf numFmtId="0" fontId="15" fillId="3" borderId="1" xfId="0" applyFont="1" applyFill="1" applyBorder="1" applyAlignment="1">
      <alignment horizontal="left" vertical="center" wrapText="1"/>
    </xf>
    <xf numFmtId="0" fontId="15" fillId="3" borderId="1" xfId="0" applyFont="1" applyFill="1" applyBorder="1" applyAlignment="1">
      <alignment horizontal="center" vertical="center"/>
    </xf>
    <xf numFmtId="2" fontId="15" fillId="3" borderId="1" xfId="0" applyNumberFormat="1" applyFont="1" applyFill="1" applyBorder="1" applyAlignment="1">
      <alignment horizontal="center" vertical="center"/>
    </xf>
    <xf numFmtId="2" fontId="15" fillId="3" borderId="13" xfId="0" applyNumberFormat="1" applyFont="1" applyFill="1" applyBorder="1" applyAlignment="1">
      <alignment horizontal="center" vertical="center"/>
    </xf>
    <xf numFmtId="0" fontId="16" fillId="0" borderId="1" xfId="0" applyFont="1" applyBorder="1" applyAlignment="1">
      <alignment horizontal="center" vertical="center" wrapText="1"/>
    </xf>
    <xf numFmtId="2" fontId="16" fillId="0" borderId="1" xfId="1" applyNumberFormat="1" applyFont="1" applyBorder="1" applyAlignment="1">
      <alignment horizontal="center" vertical="center"/>
    </xf>
    <xf numFmtId="2" fontId="16" fillId="0" borderId="13" xfId="1" applyNumberFormat="1" applyFont="1" applyBorder="1" applyAlignment="1">
      <alignment horizontal="center" vertical="center"/>
    </xf>
    <xf numFmtId="0" fontId="15" fillId="4" borderId="1" xfId="0" applyFont="1" applyFill="1" applyBorder="1" applyAlignment="1">
      <alignment horizontal="center" vertical="center"/>
    </xf>
    <xf numFmtId="2" fontId="15" fillId="4" borderId="1" xfId="0" applyNumberFormat="1" applyFont="1" applyFill="1" applyBorder="1" applyAlignment="1">
      <alignment horizontal="center" vertical="center"/>
    </xf>
    <xf numFmtId="2" fontId="15" fillId="4" borderId="13" xfId="0" applyNumberFormat="1" applyFont="1" applyFill="1" applyBorder="1" applyAlignment="1">
      <alignment horizontal="center" vertical="center"/>
    </xf>
    <xf numFmtId="2" fontId="16" fillId="0" borderId="13" xfId="0" applyNumberFormat="1" applyFont="1" applyBorder="1" applyAlignment="1">
      <alignment horizontal="center" vertical="center"/>
    </xf>
    <xf numFmtId="0" fontId="12" fillId="7" borderId="1" xfId="0" applyFont="1" applyFill="1" applyBorder="1" applyAlignment="1">
      <alignment horizontal="left" vertical="center" wrapText="1"/>
    </xf>
    <xf numFmtId="2" fontId="13" fillId="7" borderId="1" xfId="2" applyNumberFormat="1" applyFont="1" applyFill="1" applyBorder="1" applyAlignment="1">
      <alignment horizontal="center" vertical="center"/>
    </xf>
    <xf numFmtId="2" fontId="15" fillId="4" borderId="13" xfId="2" applyNumberFormat="1" applyFont="1" applyFill="1" applyBorder="1" applyAlignment="1">
      <alignment horizontal="center" vertical="center"/>
    </xf>
    <xf numFmtId="2" fontId="15" fillId="7" borderId="13" xfId="0" applyNumberFormat="1" applyFont="1" applyFill="1" applyBorder="1" applyAlignment="1">
      <alignment horizontal="center" vertical="center" wrapText="1"/>
    </xf>
    <xf numFmtId="0" fontId="13" fillId="7" borderId="1" xfId="0" applyFont="1" applyFill="1" applyBorder="1" applyAlignment="1">
      <alignment horizontal="left" vertical="center"/>
    </xf>
    <xf numFmtId="2" fontId="13" fillId="10" borderId="13" xfId="0" applyNumberFormat="1" applyFont="1" applyFill="1" applyBorder="1" applyAlignment="1">
      <alignment horizontal="center" vertical="center"/>
    </xf>
    <xf numFmtId="2" fontId="4" fillId="0" borderId="2" xfId="1" applyNumberFormat="1" applyFont="1" applyBorder="1" applyAlignment="1">
      <alignment horizontal="center" vertical="center"/>
    </xf>
    <xf numFmtId="2" fontId="4" fillId="2" borderId="2" xfId="0" applyNumberFormat="1" applyFont="1" applyFill="1" applyBorder="1" applyAlignment="1">
      <alignment horizontal="center" vertical="center"/>
    </xf>
    <xf numFmtId="0" fontId="12" fillId="10" borderId="20" xfId="0" applyFont="1" applyFill="1" applyBorder="1" applyAlignment="1">
      <alignment vertical="center" wrapText="1"/>
    </xf>
    <xf numFmtId="0" fontId="12" fillId="10" borderId="25" xfId="0" applyFont="1" applyFill="1" applyBorder="1" applyAlignment="1">
      <alignment vertical="center" wrapText="1"/>
    </xf>
    <xf numFmtId="0" fontId="12" fillId="10" borderId="2" xfId="0" applyFont="1" applyFill="1" applyBorder="1" applyAlignment="1">
      <alignment horizontal="center" vertical="center" wrapText="1"/>
    </xf>
    <xf numFmtId="0" fontId="4" fillId="9" borderId="1" xfId="0" applyFont="1" applyFill="1" applyBorder="1" applyAlignment="1">
      <alignment horizontal="center" vertical="center"/>
    </xf>
    <xf numFmtId="2" fontId="4" fillId="0" borderId="0" xfId="0" applyNumberFormat="1" applyFont="1" applyAlignment="1">
      <alignment vertical="center"/>
    </xf>
    <xf numFmtId="0" fontId="14" fillId="0" borderId="0" xfId="0" applyFont="1" applyAlignment="1">
      <alignment horizontal="left" vertical="center" wrapText="1"/>
    </xf>
    <xf numFmtId="2" fontId="4" fillId="0" borderId="0" xfId="0" applyNumberFormat="1" applyFont="1" applyAlignment="1">
      <alignment horizontal="center" vertical="center" wrapText="1"/>
    </xf>
    <xf numFmtId="2" fontId="4" fillId="2" borderId="32" xfId="1" applyNumberFormat="1" applyFont="1" applyFill="1" applyBorder="1" applyAlignment="1">
      <alignment horizontal="center" vertical="center"/>
    </xf>
    <xf numFmtId="0" fontId="23" fillId="0" borderId="1" xfId="0" applyFont="1" applyBorder="1" applyAlignment="1">
      <alignment horizontal="center" vertical="center"/>
    </xf>
    <xf numFmtId="2" fontId="16" fillId="0" borderId="25" xfId="0" applyNumberFormat="1" applyFont="1" applyBorder="1" applyAlignment="1">
      <alignment horizontal="center" vertical="center" wrapText="1"/>
    </xf>
    <xf numFmtId="2" fontId="13" fillId="7" borderId="33" xfId="1" applyNumberFormat="1" applyFont="1" applyFill="1" applyBorder="1" applyAlignment="1">
      <alignment horizontal="center" vertical="center"/>
    </xf>
    <xf numFmtId="2" fontId="13" fillId="7" borderId="26" xfId="2" applyNumberFormat="1" applyFont="1" applyFill="1" applyBorder="1" applyAlignment="1">
      <alignment horizontal="center" vertical="center"/>
    </xf>
    <xf numFmtId="2" fontId="13" fillId="7" borderId="35" xfId="1" applyNumberFormat="1" applyFont="1" applyFill="1" applyBorder="1" applyAlignment="1">
      <alignment horizontal="center" vertical="center"/>
    </xf>
    <xf numFmtId="2" fontId="13" fillId="7" borderId="23" xfId="2" applyNumberFormat="1" applyFont="1" applyFill="1" applyBorder="1" applyAlignment="1">
      <alignment horizontal="center" vertical="center"/>
    </xf>
    <xf numFmtId="2" fontId="13" fillId="7" borderId="34" xfId="1" applyNumberFormat="1" applyFont="1" applyFill="1" applyBorder="1" applyAlignment="1">
      <alignment horizontal="center" vertical="center"/>
    </xf>
    <xf numFmtId="2" fontId="13" fillId="7" borderId="72" xfId="2" applyNumberFormat="1" applyFont="1" applyFill="1" applyBorder="1" applyAlignment="1">
      <alignment horizontal="center" vertical="center"/>
    </xf>
    <xf numFmtId="2" fontId="23" fillId="0" borderId="32" xfId="1" applyNumberFormat="1" applyFont="1" applyBorder="1" applyAlignment="1">
      <alignment horizontal="center" vertical="center"/>
    </xf>
    <xf numFmtId="2" fontId="22" fillId="4" borderId="1" xfId="0" applyNumberFormat="1" applyFont="1" applyFill="1" applyBorder="1" applyAlignment="1">
      <alignment horizontal="center" vertical="center" wrapText="1"/>
    </xf>
    <xf numFmtId="2" fontId="22" fillId="9" borderId="1" xfId="0" applyNumberFormat="1" applyFont="1" applyFill="1" applyBorder="1" applyAlignment="1">
      <alignment horizontal="center" vertical="center" wrapText="1"/>
    </xf>
    <xf numFmtId="0" fontId="5" fillId="2" borderId="86" xfId="0" applyFont="1" applyFill="1" applyBorder="1" applyAlignment="1">
      <alignment horizontal="center" vertical="center"/>
    </xf>
    <xf numFmtId="0" fontId="5" fillId="2" borderId="43" xfId="0" applyFont="1" applyFill="1" applyBorder="1" applyAlignment="1">
      <alignment horizontal="center" vertical="center"/>
    </xf>
    <xf numFmtId="0" fontId="10" fillId="0" borderId="43" xfId="0" applyFont="1" applyBorder="1" applyAlignment="1">
      <alignment horizontal="left" vertical="center" wrapText="1"/>
    </xf>
    <xf numFmtId="2" fontId="5" fillId="2" borderId="43" xfId="0" applyNumberFormat="1" applyFont="1" applyFill="1" applyBorder="1" applyAlignment="1">
      <alignment horizontal="center" vertical="center"/>
    </xf>
    <xf numFmtId="165" fontId="5" fillId="2" borderId="43" xfId="0" applyNumberFormat="1" applyFont="1" applyFill="1" applyBorder="1" applyAlignment="1">
      <alignment horizontal="left" vertical="center"/>
    </xf>
    <xf numFmtId="165" fontId="5" fillId="2" borderId="87" xfId="0" applyNumberFormat="1" applyFont="1" applyFill="1" applyBorder="1" applyAlignment="1">
      <alignment horizontal="center" vertical="center"/>
    </xf>
    <xf numFmtId="2" fontId="4" fillId="4" borderId="1" xfId="0" applyNumberFormat="1" applyFont="1" applyFill="1" applyBorder="1" applyAlignment="1">
      <alignment horizontal="center" vertical="center"/>
    </xf>
    <xf numFmtId="10" fontId="0" fillId="2" borderId="3" xfId="13" applyNumberFormat="1" applyFont="1" applyFill="1" applyBorder="1" applyAlignment="1">
      <alignment horizontal="center" vertical="center"/>
    </xf>
    <xf numFmtId="0" fontId="0" fillId="0" borderId="1" xfId="0" applyBorder="1" applyAlignment="1">
      <alignment horizontal="center" vertical="center"/>
    </xf>
    <xf numFmtId="10" fontId="0" fillId="0" borderId="1" xfId="0" applyNumberFormat="1" applyBorder="1" applyAlignment="1">
      <alignment horizontal="center" vertical="center"/>
    </xf>
    <xf numFmtId="10" fontId="0" fillId="0" borderId="0" xfId="0" applyNumberFormat="1" applyAlignment="1">
      <alignment horizontal="center" vertical="center"/>
    </xf>
    <xf numFmtId="170" fontId="22" fillId="0" borderId="17" xfId="1" applyNumberFormat="1" applyFont="1" applyBorder="1" applyAlignment="1">
      <alignment horizontal="center" vertical="center"/>
    </xf>
    <xf numFmtId="170" fontId="22" fillId="0" borderId="8" xfId="1" applyNumberFormat="1" applyFont="1" applyBorder="1" applyAlignment="1">
      <alignment horizontal="center" vertical="center"/>
    </xf>
    <xf numFmtId="0" fontId="4" fillId="0" borderId="3" xfId="0" applyFont="1" applyBorder="1" applyAlignment="1">
      <alignment horizontal="center" vertical="center"/>
    </xf>
    <xf numFmtId="49" fontId="13" fillId="6" borderId="2" xfId="0" applyNumberFormat="1" applyFont="1" applyFill="1" applyBorder="1" applyAlignment="1">
      <alignment horizontal="center" vertical="center"/>
    </xf>
    <xf numFmtId="0" fontId="4" fillId="0" borderId="32" xfId="0" applyFont="1" applyBorder="1" applyAlignment="1">
      <alignment horizontal="left" vertical="center" wrapText="1"/>
    </xf>
    <xf numFmtId="0" fontId="4" fillId="0" borderId="3" xfId="0" applyFont="1" applyBorder="1" applyAlignment="1">
      <alignment horizontal="center" vertical="center" wrapText="1"/>
    </xf>
    <xf numFmtId="0" fontId="4" fillId="0" borderId="26" xfId="0" applyFont="1" applyBorder="1" applyAlignment="1">
      <alignment horizontal="left" vertical="center" wrapText="1"/>
    </xf>
    <xf numFmtId="0" fontId="4" fillId="0" borderId="23" xfId="0" applyFont="1" applyBorder="1" applyAlignment="1">
      <alignment horizontal="left" vertical="center" wrapText="1"/>
    </xf>
    <xf numFmtId="0" fontId="4" fillId="0" borderId="88" xfId="0" applyFont="1" applyBorder="1" applyAlignment="1">
      <alignment horizontal="left" vertical="center" wrapText="1"/>
    </xf>
    <xf numFmtId="0" fontId="4" fillId="0" borderId="89" xfId="0" applyFont="1" applyBorder="1" applyAlignment="1">
      <alignment horizontal="left" vertical="center" wrapText="1"/>
    </xf>
    <xf numFmtId="0" fontId="4" fillId="0" borderId="32" xfId="0" applyFont="1" applyBorder="1" applyAlignment="1">
      <alignment vertical="center"/>
    </xf>
    <xf numFmtId="2" fontId="4" fillId="2" borderId="20" xfId="0" applyNumberFormat="1" applyFont="1" applyFill="1" applyBorder="1" applyAlignment="1">
      <alignment horizontal="center" vertical="center"/>
    </xf>
    <xf numFmtId="0" fontId="4" fillId="0" borderId="26" xfId="0" applyFont="1" applyBorder="1" applyAlignment="1">
      <alignment vertical="center"/>
    </xf>
    <xf numFmtId="0" fontId="4" fillId="0" borderId="89" xfId="0" applyFont="1" applyBorder="1" applyAlignment="1">
      <alignment vertical="center"/>
    </xf>
    <xf numFmtId="2" fontId="13" fillId="4" borderId="13" xfId="1" applyNumberFormat="1" applyFont="1" applyFill="1" applyBorder="1" applyAlignment="1">
      <alignment horizontal="center" vertical="center"/>
    </xf>
    <xf numFmtId="49" fontId="13" fillId="4" borderId="2" xfId="0" applyNumberFormat="1" applyFont="1" applyFill="1" applyBorder="1" applyAlignment="1">
      <alignment horizontal="center" vertical="center"/>
    </xf>
    <xf numFmtId="2" fontId="13" fillId="4" borderId="3" xfId="0" applyNumberFormat="1" applyFont="1" applyFill="1" applyBorder="1" applyAlignment="1">
      <alignment horizontal="center" vertical="center"/>
    </xf>
    <xf numFmtId="0" fontId="4" fillId="0" borderId="91" xfId="0" applyFont="1" applyBorder="1" applyAlignment="1">
      <alignment horizontal="left" vertical="center" wrapText="1"/>
    </xf>
    <xf numFmtId="0" fontId="4" fillId="0" borderId="91" xfId="0" applyFont="1" applyBorder="1" applyAlignment="1">
      <alignment horizontal="center" vertical="center" wrapText="1"/>
    </xf>
    <xf numFmtId="2" fontId="4" fillId="0" borderId="91" xfId="1" applyNumberFormat="1" applyFont="1" applyBorder="1" applyAlignment="1">
      <alignment horizontal="center" vertical="center"/>
    </xf>
    <xf numFmtId="2" fontId="4" fillId="0" borderId="92" xfId="1" applyNumberFormat="1" applyFont="1" applyBorder="1" applyAlignment="1">
      <alignment horizontal="center" vertical="center"/>
    </xf>
    <xf numFmtId="2" fontId="4" fillId="2" borderId="26" xfId="1" applyNumberFormat="1" applyFont="1" applyFill="1" applyBorder="1" applyAlignment="1">
      <alignment horizontal="center" vertical="center"/>
    </xf>
    <xf numFmtId="2" fontId="4" fillId="0" borderId="14" xfId="0" applyNumberFormat="1" applyFont="1" applyBorder="1" applyAlignment="1">
      <alignment horizontal="center" vertical="center"/>
    </xf>
    <xf numFmtId="0" fontId="29" fillId="11" borderId="1" xfId="0" applyFont="1" applyFill="1" applyBorder="1" applyAlignment="1">
      <alignment horizontal="left" vertical="center" wrapText="1"/>
    </xf>
    <xf numFmtId="0" fontId="16" fillId="11" borderId="1" xfId="0" applyFont="1" applyFill="1" applyBorder="1" applyAlignment="1">
      <alignment horizontal="left" vertical="center" wrapText="1"/>
    </xf>
    <xf numFmtId="2" fontId="16" fillId="11" borderId="1" xfId="0" applyNumberFormat="1" applyFont="1" applyFill="1" applyBorder="1" applyAlignment="1">
      <alignment horizontal="center" vertical="center"/>
    </xf>
    <xf numFmtId="2" fontId="16" fillId="11" borderId="13" xfId="0" applyNumberFormat="1" applyFont="1" applyFill="1" applyBorder="1" applyAlignment="1">
      <alignment horizontal="center" vertical="center"/>
    </xf>
    <xf numFmtId="0" fontId="4" fillId="0" borderId="0" xfId="0" applyFont="1" applyAlignment="1">
      <alignment horizontal="left" vertical="center" wrapText="1"/>
    </xf>
    <xf numFmtId="0" fontId="13" fillId="4" borderId="32" xfId="0" applyFont="1" applyFill="1" applyBorder="1" applyAlignment="1">
      <alignment horizontal="justify" vertical="center"/>
    </xf>
    <xf numFmtId="0" fontId="29" fillId="9" borderId="1" xfId="0" applyFont="1" applyFill="1" applyBorder="1" applyAlignment="1">
      <alignment vertical="center"/>
    </xf>
    <xf numFmtId="0" fontId="13" fillId="4" borderId="0" xfId="0" applyFont="1" applyFill="1" applyAlignment="1">
      <alignment horizontal="justify" vertical="center" wrapText="1"/>
    </xf>
    <xf numFmtId="0" fontId="31" fillId="2" borderId="7" xfId="0" applyFont="1" applyFill="1" applyBorder="1" applyAlignment="1">
      <alignment horizontal="center" vertical="center"/>
    </xf>
    <xf numFmtId="0" fontId="5" fillId="0" borderId="9" xfId="0" applyFont="1" applyBorder="1" applyAlignment="1">
      <alignment horizontal="center" vertical="center"/>
    </xf>
    <xf numFmtId="0" fontId="4" fillId="0" borderId="20" xfId="0" applyFont="1" applyBorder="1" applyAlignment="1">
      <alignment horizontal="center" vertical="center"/>
    </xf>
    <xf numFmtId="0" fontId="15" fillId="0" borderId="77" xfId="0" applyFont="1" applyBorder="1" applyAlignment="1">
      <alignment horizontal="center" vertical="center"/>
    </xf>
    <xf numFmtId="0" fontId="15" fillId="0" borderId="0" xfId="0" applyFont="1" applyAlignment="1">
      <alignment horizontal="center" vertical="center"/>
    </xf>
    <xf numFmtId="0" fontId="11" fillId="0" borderId="77" xfId="0" applyFont="1" applyBorder="1" applyAlignment="1">
      <alignment horizontal="center" vertical="center"/>
    </xf>
    <xf numFmtId="0" fontId="11" fillId="0" borderId="0" xfId="0" applyFont="1" applyAlignment="1">
      <alignment horizontal="center" vertical="center"/>
    </xf>
    <xf numFmtId="0" fontId="11" fillId="0" borderId="66" xfId="0" applyFont="1" applyBorder="1" applyAlignment="1">
      <alignment vertical="center"/>
    </xf>
    <xf numFmtId="0" fontId="24" fillId="0" borderId="83" xfId="0" applyFont="1" applyBorder="1" applyAlignment="1">
      <alignment horizontal="center" vertical="center"/>
    </xf>
    <xf numFmtId="0" fontId="24" fillId="0" borderId="64" xfId="0" applyFont="1" applyBorder="1" applyAlignment="1">
      <alignment horizontal="center" vertical="center"/>
    </xf>
    <xf numFmtId="0" fontId="24" fillId="0" borderId="65" xfId="0" applyFont="1" applyBorder="1" applyAlignment="1">
      <alignment horizontal="center" vertical="center"/>
    </xf>
    <xf numFmtId="0" fontId="5" fillId="0" borderId="74" xfId="0" applyFont="1" applyBorder="1" applyAlignment="1">
      <alignment horizontal="center" vertical="center"/>
    </xf>
    <xf numFmtId="0" fontId="5" fillId="11" borderId="0" xfId="0" applyFont="1" applyFill="1" applyAlignment="1">
      <alignment vertical="center"/>
    </xf>
    <xf numFmtId="0" fontId="13" fillId="3" borderId="24" xfId="0" applyFont="1" applyFill="1" applyBorder="1" applyAlignment="1">
      <alignment horizontal="center" vertical="center"/>
    </xf>
    <xf numFmtId="0" fontId="13" fillId="3" borderId="62" xfId="0" applyFont="1" applyFill="1" applyBorder="1" applyAlignment="1">
      <alignment horizontal="center" vertical="center"/>
    </xf>
    <xf numFmtId="2" fontId="23" fillId="0" borderId="99" xfId="1" applyNumberFormat="1" applyFont="1" applyBorder="1" applyAlignment="1">
      <alignment horizontal="center" vertical="center"/>
    </xf>
    <xf numFmtId="2" fontId="22" fillId="4" borderId="94" xfId="0" applyNumberFormat="1" applyFont="1" applyFill="1" applyBorder="1" applyAlignment="1">
      <alignment horizontal="center" vertical="center"/>
    </xf>
    <xf numFmtId="2" fontId="23" fillId="0" borderId="94" xfId="1" applyNumberFormat="1" applyFont="1" applyBorder="1" applyAlignment="1">
      <alignment horizontal="center" vertical="center"/>
    </xf>
    <xf numFmtId="2" fontId="23" fillId="0" borderId="82" xfId="1" applyNumberFormat="1" applyFont="1" applyBorder="1" applyAlignment="1">
      <alignment horizontal="center" vertical="center"/>
    </xf>
    <xf numFmtId="2" fontId="4" fillId="0" borderId="14" xfId="0" applyNumberFormat="1" applyFont="1" applyBorder="1" applyAlignment="1">
      <alignment horizontal="center" vertical="center" wrapText="1"/>
    </xf>
    <xf numFmtId="2" fontId="13" fillId="4" borderId="24" xfId="0" applyNumberFormat="1" applyFont="1" applyFill="1" applyBorder="1" applyAlignment="1">
      <alignment horizontal="center" vertical="center"/>
    </xf>
    <xf numFmtId="2" fontId="22" fillId="4" borderId="100" xfId="0" applyNumberFormat="1" applyFont="1" applyFill="1" applyBorder="1" applyAlignment="1">
      <alignment horizontal="center" vertical="center"/>
    </xf>
    <xf numFmtId="2" fontId="23" fillId="0" borderId="101" xfId="1" applyNumberFormat="1" applyFont="1" applyBorder="1" applyAlignment="1">
      <alignment horizontal="center" vertical="center"/>
    </xf>
    <xf numFmtId="2" fontId="22" fillId="4" borderId="101" xfId="0" applyNumberFormat="1" applyFont="1" applyFill="1" applyBorder="1" applyAlignment="1">
      <alignment horizontal="center" vertical="center"/>
    </xf>
    <xf numFmtId="2" fontId="23" fillId="0" borderId="102" xfId="1" applyNumberFormat="1" applyFont="1" applyBorder="1" applyAlignment="1">
      <alignment horizontal="center" vertical="center"/>
    </xf>
    <xf numFmtId="165" fontId="9" fillId="0" borderId="87" xfId="1" applyFont="1" applyBorder="1" applyAlignment="1">
      <alignment horizontal="right" vertical="center" wrapText="1"/>
    </xf>
    <xf numFmtId="165" fontId="6" fillId="5" borderId="81" xfId="0" applyNumberFormat="1" applyFont="1" applyFill="1" applyBorder="1" applyAlignment="1">
      <alignment vertical="center"/>
    </xf>
    <xf numFmtId="0" fontId="24" fillId="0" borderId="75" xfId="0" applyFont="1" applyBorder="1" applyAlignment="1">
      <alignment vertical="center"/>
    </xf>
    <xf numFmtId="0" fontId="5" fillId="0" borderId="77" xfId="0" applyFont="1" applyBorder="1" applyAlignment="1">
      <alignment horizontal="center" vertical="center"/>
    </xf>
    <xf numFmtId="0" fontId="15" fillId="0" borderId="0" xfId="0" applyFont="1" applyAlignment="1">
      <alignment vertical="center"/>
    </xf>
    <xf numFmtId="0" fontId="15" fillId="0" borderId="83" xfId="0" applyFont="1" applyBorder="1" applyAlignment="1">
      <alignment horizontal="center" vertical="center"/>
    </xf>
    <xf numFmtId="0" fontId="15" fillId="0" borderId="64" xfId="0" applyFont="1" applyBorder="1" applyAlignment="1">
      <alignment horizontal="center" vertical="center"/>
    </xf>
    <xf numFmtId="49" fontId="5" fillId="0" borderId="64" xfId="0" applyNumberFormat="1" applyFont="1" applyBorder="1" applyAlignment="1">
      <alignment horizontal="center" vertical="center"/>
    </xf>
    <xf numFmtId="0" fontId="25" fillId="0" borderId="10" xfId="0" applyFont="1" applyBorder="1" applyAlignment="1">
      <alignment vertical="center"/>
    </xf>
    <xf numFmtId="2" fontId="13" fillId="4" borderId="14" xfId="0" applyNumberFormat="1" applyFont="1" applyFill="1" applyBorder="1" applyAlignment="1">
      <alignment horizontal="center" vertical="center"/>
    </xf>
    <xf numFmtId="2" fontId="4" fillId="0" borderId="81" xfId="1" applyNumberFormat="1" applyFont="1" applyBorder="1" applyAlignment="1">
      <alignment horizontal="center" vertical="center"/>
    </xf>
    <xf numFmtId="0" fontId="23" fillId="0" borderId="3" xfId="0" applyFont="1" applyBorder="1" applyAlignment="1">
      <alignment horizontal="left" vertical="center" wrapText="1"/>
    </xf>
    <xf numFmtId="2" fontId="13" fillId="4" borderId="33" xfId="0" applyNumberFormat="1" applyFont="1" applyFill="1" applyBorder="1" applyAlignment="1">
      <alignment horizontal="center" vertical="center"/>
    </xf>
    <xf numFmtId="2" fontId="4" fillId="2" borderId="48" xfId="1" applyNumberFormat="1" applyFont="1" applyFill="1" applyBorder="1" applyAlignment="1">
      <alignment horizontal="center" vertical="center"/>
    </xf>
    <xf numFmtId="2" fontId="13" fillId="5" borderId="24" xfId="0" applyNumberFormat="1" applyFont="1" applyFill="1" applyBorder="1" applyAlignment="1">
      <alignment horizontal="center" vertical="center"/>
    </xf>
    <xf numFmtId="2" fontId="4" fillId="0" borderId="100" xfId="0" applyNumberFormat="1" applyFont="1" applyBorder="1" applyAlignment="1">
      <alignment horizontal="center" vertical="center"/>
    </xf>
    <xf numFmtId="2" fontId="4" fillId="0" borderId="101" xfId="0" applyNumberFormat="1" applyFont="1" applyBorder="1" applyAlignment="1">
      <alignment horizontal="center" vertical="center"/>
    </xf>
    <xf numFmtId="2" fontId="13" fillId="4" borderId="101" xfId="0" applyNumberFormat="1" applyFont="1" applyFill="1" applyBorder="1" applyAlignment="1">
      <alignment horizontal="center" vertical="center"/>
    </xf>
    <xf numFmtId="2" fontId="4" fillId="2" borderId="101" xfId="1" applyNumberFormat="1" applyFont="1" applyFill="1" applyBorder="1" applyAlignment="1">
      <alignment horizontal="center" vertical="center"/>
    </xf>
    <xf numFmtId="2" fontId="13" fillId="4" borderId="102" xfId="0" applyNumberFormat="1" applyFont="1" applyFill="1" applyBorder="1" applyAlignment="1">
      <alignment horizontal="center" vertical="center"/>
    </xf>
    <xf numFmtId="2" fontId="4" fillId="0" borderId="78" xfId="0" applyNumberFormat="1" applyFont="1" applyBorder="1" applyAlignment="1">
      <alignment horizontal="center" vertical="center"/>
    </xf>
    <xf numFmtId="0" fontId="13" fillId="4" borderId="26" xfId="0" applyFont="1" applyFill="1" applyBorder="1" applyAlignment="1">
      <alignment vertical="center"/>
    </xf>
    <xf numFmtId="0" fontId="13" fillId="4" borderId="26" xfId="0" applyFont="1" applyFill="1" applyBorder="1" applyAlignment="1">
      <alignment horizontal="center" vertical="center"/>
    </xf>
    <xf numFmtId="0" fontId="4" fillId="0" borderId="106" xfId="0" applyFont="1" applyBorder="1" applyAlignment="1">
      <alignment vertical="center"/>
    </xf>
    <xf numFmtId="2" fontId="4" fillId="2" borderId="106" xfId="0" applyNumberFormat="1" applyFont="1" applyFill="1" applyBorder="1" applyAlignment="1">
      <alignment horizontal="center" vertical="center"/>
    </xf>
    <xf numFmtId="2" fontId="4" fillId="2" borderId="106" xfId="1" applyNumberFormat="1" applyFont="1" applyFill="1" applyBorder="1" applyAlignment="1">
      <alignment horizontal="center" vertical="center"/>
    </xf>
    <xf numFmtId="2" fontId="4" fillId="0" borderId="107" xfId="0" applyNumberFormat="1" applyFont="1" applyBorder="1" applyAlignment="1">
      <alignment horizontal="center" vertical="center"/>
    </xf>
    <xf numFmtId="2" fontId="21" fillId="2" borderId="75" xfId="0" applyNumberFormat="1" applyFont="1" applyFill="1" applyBorder="1" applyAlignment="1">
      <alignment horizontal="center" vertical="center"/>
    </xf>
    <xf numFmtId="165" fontId="21" fillId="2" borderId="75" xfId="1" applyFont="1" applyFill="1" applyBorder="1" applyAlignment="1">
      <alignment horizontal="left" vertical="center"/>
    </xf>
    <xf numFmtId="49" fontId="14" fillId="0" borderId="64" xfId="5" applyNumberFormat="1" applyFont="1" applyBorder="1" applyAlignment="1">
      <alignment horizontal="center" vertical="center" wrapText="1"/>
    </xf>
    <xf numFmtId="2" fontId="4" fillId="2" borderId="33" xfId="0" applyNumberFormat="1" applyFont="1" applyFill="1" applyBorder="1" applyAlignment="1">
      <alignment horizontal="center" vertical="center"/>
    </xf>
    <xf numFmtId="0" fontId="4" fillId="0" borderId="52" xfId="0" applyFont="1" applyBorder="1" applyAlignment="1">
      <alignment horizontal="center" vertical="center"/>
    </xf>
    <xf numFmtId="0" fontId="4" fillId="0" borderId="108" xfId="0" applyFont="1" applyBorder="1" applyAlignment="1">
      <alignment horizontal="center" vertical="center"/>
    </xf>
    <xf numFmtId="0" fontId="4" fillId="0" borderId="85" xfId="0" applyFont="1" applyBorder="1" applyAlignment="1">
      <alignment horizontal="center" vertical="center"/>
    </xf>
    <xf numFmtId="165" fontId="21" fillId="2" borderId="0" xfId="0" applyNumberFormat="1" applyFont="1" applyFill="1" applyAlignment="1">
      <alignment vertical="center"/>
    </xf>
    <xf numFmtId="2" fontId="27" fillId="2" borderId="0" xfId="0" applyNumberFormat="1" applyFont="1" applyFill="1" applyAlignment="1">
      <alignment vertical="center"/>
    </xf>
    <xf numFmtId="2" fontId="4" fillId="2" borderId="0" xfId="0" applyNumberFormat="1" applyFont="1" applyFill="1" applyAlignment="1">
      <alignment vertical="center"/>
    </xf>
    <xf numFmtId="49" fontId="14" fillId="0" borderId="0" xfId="5" applyNumberFormat="1" applyFont="1" applyAlignment="1">
      <alignment vertical="center" wrapText="1"/>
    </xf>
    <xf numFmtId="49" fontId="21" fillId="2" borderId="75" xfId="0" applyNumberFormat="1" applyFont="1" applyFill="1" applyBorder="1" applyAlignment="1">
      <alignment horizontal="center" vertical="center"/>
    </xf>
    <xf numFmtId="2" fontId="21" fillId="2" borderId="75" xfId="0" applyNumberFormat="1" applyFont="1" applyFill="1" applyBorder="1" applyAlignment="1">
      <alignment vertical="center"/>
    </xf>
    <xf numFmtId="2" fontId="20" fillId="0" borderId="75" xfId="0" applyNumberFormat="1" applyFont="1" applyBorder="1" applyAlignment="1">
      <alignment horizontal="center" vertical="center"/>
    </xf>
    <xf numFmtId="165" fontId="21" fillId="2" borderId="76" xfId="1" applyFont="1" applyFill="1" applyBorder="1" applyAlignment="1">
      <alignment horizontal="left" vertical="center"/>
    </xf>
    <xf numFmtId="0" fontId="4" fillId="0" borderId="77" xfId="0" applyFont="1" applyBorder="1" applyAlignment="1">
      <alignment vertical="center"/>
    </xf>
    <xf numFmtId="0" fontId="5" fillId="0" borderId="83" xfId="0" applyFont="1" applyBorder="1" applyAlignment="1">
      <alignment horizontal="center" vertical="center"/>
    </xf>
    <xf numFmtId="0" fontId="4" fillId="0" borderId="52" xfId="0" applyFont="1" applyBorder="1" applyAlignment="1">
      <alignment vertical="center"/>
    </xf>
    <xf numFmtId="0" fontId="16" fillId="0" borderId="32" xfId="0" applyFont="1" applyBorder="1" applyAlignment="1">
      <alignment horizontal="left" vertical="center" wrapText="1"/>
    </xf>
    <xf numFmtId="0" fontId="16" fillId="0" borderId="26" xfId="0" applyFont="1" applyBorder="1" applyAlignment="1">
      <alignment horizontal="left" vertical="center" wrapText="1"/>
    </xf>
    <xf numFmtId="0" fontId="13" fillId="4" borderId="23" xfId="0" applyFont="1" applyFill="1" applyBorder="1" applyAlignment="1">
      <alignment horizontal="left" vertical="center" wrapText="1"/>
    </xf>
    <xf numFmtId="2" fontId="4" fillId="0" borderId="32" xfId="2" applyNumberFormat="1" applyFont="1" applyFill="1" applyBorder="1" applyAlignment="1">
      <alignment horizontal="center" vertical="center"/>
    </xf>
    <xf numFmtId="0" fontId="4" fillId="0" borderId="2" xfId="0" applyFont="1" applyBorder="1" applyAlignment="1">
      <alignment horizontal="center" vertical="center" wrapText="1"/>
    </xf>
    <xf numFmtId="2" fontId="4" fillId="0" borderId="23" xfId="2" applyNumberFormat="1" applyFont="1" applyFill="1" applyBorder="1" applyAlignment="1">
      <alignment horizontal="center" vertical="center"/>
    </xf>
    <xf numFmtId="0" fontId="13" fillId="4" borderId="26" xfId="0" applyFont="1" applyFill="1" applyBorder="1" applyAlignment="1">
      <alignment horizontal="left" vertical="center" wrapText="1"/>
    </xf>
    <xf numFmtId="0" fontId="13" fillId="4" borderId="72" xfId="0" applyFont="1" applyFill="1" applyBorder="1" applyAlignment="1">
      <alignment horizontal="left" vertical="center" wrapText="1"/>
    </xf>
    <xf numFmtId="2" fontId="13" fillId="4" borderId="72" xfId="0" applyNumberFormat="1" applyFont="1" applyFill="1" applyBorder="1" applyAlignment="1">
      <alignment horizontal="center" vertical="center"/>
    </xf>
    <xf numFmtId="2" fontId="27" fillId="2" borderId="8" xfId="0" applyNumberFormat="1" applyFont="1" applyFill="1" applyBorder="1" applyAlignment="1">
      <alignment vertical="center"/>
    </xf>
    <xf numFmtId="2" fontId="27" fillId="2" borderId="5" xfId="0" applyNumberFormat="1" applyFont="1" applyFill="1" applyBorder="1" applyAlignment="1">
      <alignment vertical="center"/>
    </xf>
    <xf numFmtId="2" fontId="27" fillId="2" borderId="4" xfId="0" applyNumberFormat="1" applyFont="1" applyFill="1" applyBorder="1" applyAlignment="1">
      <alignment vertical="center"/>
    </xf>
    <xf numFmtId="2" fontId="27" fillId="2" borderId="6" xfId="0" applyNumberFormat="1" applyFont="1" applyFill="1" applyBorder="1" applyAlignment="1">
      <alignment vertical="center"/>
    </xf>
    <xf numFmtId="2" fontId="27" fillId="2" borderId="7" xfId="0" applyNumberFormat="1" applyFont="1" applyFill="1" applyBorder="1" applyAlignment="1">
      <alignment vertical="center"/>
    </xf>
    <xf numFmtId="2" fontId="27" fillId="2" borderId="9" xfId="0" applyNumberFormat="1" applyFont="1" applyFill="1" applyBorder="1" applyAlignment="1">
      <alignment vertical="center"/>
    </xf>
    <xf numFmtId="2" fontId="27" fillId="2" borderId="10" xfId="0" applyNumberFormat="1" applyFont="1" applyFill="1" applyBorder="1" applyAlignment="1">
      <alignment vertical="center"/>
    </xf>
    <xf numFmtId="2" fontId="27" fillId="2" borderId="11" xfId="0" applyNumberFormat="1" applyFont="1" applyFill="1" applyBorder="1" applyAlignment="1">
      <alignment vertical="center"/>
    </xf>
    <xf numFmtId="2" fontId="27" fillId="2" borderId="66" xfId="0" applyNumberFormat="1" applyFont="1" applyFill="1" applyBorder="1" applyAlignment="1">
      <alignment horizontal="center" vertical="center"/>
    </xf>
    <xf numFmtId="2" fontId="4" fillId="2" borderId="66" xfId="0" applyNumberFormat="1" applyFont="1" applyFill="1" applyBorder="1" applyAlignment="1">
      <alignment horizontal="center" vertical="center"/>
    </xf>
    <xf numFmtId="49" fontId="14" fillId="0" borderId="65" xfId="5" applyNumberFormat="1" applyFont="1" applyBorder="1" applyAlignment="1">
      <alignment horizontal="center" vertical="center" wrapText="1"/>
    </xf>
    <xf numFmtId="2" fontId="27" fillId="0" borderId="66" xfId="0" applyNumberFormat="1" applyFont="1" applyBorder="1" applyAlignment="1">
      <alignment horizontal="left" vertical="center"/>
    </xf>
    <xf numFmtId="2" fontId="4" fillId="2" borderId="0" xfId="0" applyNumberFormat="1" applyFont="1" applyFill="1" applyAlignment="1">
      <alignment horizontal="center" vertical="center"/>
    </xf>
    <xf numFmtId="2" fontId="27" fillId="0" borderId="0" xfId="0" applyNumberFormat="1" applyFont="1" applyAlignment="1">
      <alignment horizontal="left" vertical="center"/>
    </xf>
    <xf numFmtId="2" fontId="27" fillId="2" borderId="0" xfId="0" applyNumberFormat="1" applyFont="1" applyFill="1" applyAlignment="1">
      <alignment horizontal="center" vertical="center"/>
    </xf>
    <xf numFmtId="2" fontId="4" fillId="2" borderId="111" xfId="0" applyNumberFormat="1" applyFont="1" applyFill="1" applyBorder="1" applyAlignment="1">
      <alignment horizontal="center" vertical="center"/>
    </xf>
    <xf numFmtId="2" fontId="4" fillId="0" borderId="113" xfId="0" applyNumberFormat="1" applyFont="1" applyBorder="1" applyAlignment="1">
      <alignment horizontal="center" vertical="center"/>
    </xf>
    <xf numFmtId="0" fontId="4" fillId="0" borderId="111" xfId="0" applyFont="1" applyBorder="1" applyAlignment="1">
      <alignment vertical="center"/>
    </xf>
    <xf numFmtId="44" fontId="0" fillId="0" borderId="0" xfId="0" applyNumberFormat="1" applyAlignment="1">
      <alignment horizontal="center" vertical="center"/>
    </xf>
    <xf numFmtId="0" fontId="15" fillId="8" borderId="1" xfId="0" applyFont="1" applyFill="1" applyBorder="1"/>
    <xf numFmtId="44" fontId="21" fillId="0" borderId="42" xfId="0" applyNumberFormat="1" applyFont="1" applyBorder="1" applyAlignment="1">
      <alignment horizontal="center" vertical="center"/>
    </xf>
    <xf numFmtId="0" fontId="34" fillId="0" borderId="0" xfId="0" applyFont="1" applyAlignment="1">
      <alignment horizontal="center"/>
    </xf>
    <xf numFmtId="0" fontId="35" fillId="0" borderId="0" xfId="0" applyFont="1" applyAlignment="1">
      <alignment horizontal="center"/>
    </xf>
    <xf numFmtId="0" fontId="34" fillId="0" borderId="0" xfId="0" applyFont="1"/>
    <xf numFmtId="165" fontId="31" fillId="0" borderId="0" xfId="1" applyFont="1" applyFill="1" applyBorder="1"/>
    <xf numFmtId="10" fontId="0" fillId="0" borderId="0" xfId="13" applyNumberFormat="1" applyFont="1" applyFill="1" applyBorder="1" applyAlignment="1">
      <alignment horizontal="center" vertical="center"/>
    </xf>
    <xf numFmtId="10" fontId="31" fillId="0" borderId="0" xfId="0" applyNumberFormat="1" applyFont="1"/>
    <xf numFmtId="0" fontId="31" fillId="0" borderId="0" xfId="0" applyFont="1"/>
    <xf numFmtId="10" fontId="36" fillId="0" borderId="0" xfId="0" applyNumberFormat="1" applyFont="1" applyAlignment="1">
      <alignment horizontal="center"/>
    </xf>
    <xf numFmtId="10" fontId="2" fillId="0" borderId="0" xfId="13" applyNumberFormat="1" applyFont="1" applyFill="1" applyBorder="1" applyAlignment="1">
      <alignment horizontal="center" vertical="center"/>
    </xf>
    <xf numFmtId="165" fontId="0" fillId="0" borderId="0" xfId="1" applyFont="1" applyFill="1" applyBorder="1" applyAlignment="1">
      <alignment horizontal="center" vertical="center"/>
    </xf>
    <xf numFmtId="167" fontId="34" fillId="0" borderId="0" xfId="0" applyNumberFormat="1" applyFont="1"/>
    <xf numFmtId="165" fontId="34" fillId="0" borderId="0" xfId="0" applyNumberFormat="1" applyFont="1"/>
    <xf numFmtId="165" fontId="0" fillId="0" borderId="0" xfId="0" applyNumberFormat="1" applyAlignment="1">
      <alignment horizontal="center" vertical="center"/>
    </xf>
    <xf numFmtId="164" fontId="34" fillId="0" borderId="0" xfId="0" applyNumberFormat="1" applyFont="1" applyAlignment="1">
      <alignment horizontal="center" vertical="center"/>
    </xf>
    <xf numFmtId="0" fontId="37" fillId="0" borderId="0" xfId="0" applyFont="1"/>
    <xf numFmtId="10" fontId="31" fillId="0" borderId="0" xfId="0" applyNumberFormat="1" applyFont="1" applyAlignment="1">
      <alignment horizontal="center" vertical="center"/>
    </xf>
    <xf numFmtId="10" fontId="31" fillId="0" borderId="0" xfId="0" applyNumberFormat="1" applyFont="1" applyAlignment="1">
      <alignment horizontal="center"/>
    </xf>
    <xf numFmtId="0" fontId="33" fillId="0" borderId="0" xfId="0" applyFont="1"/>
    <xf numFmtId="0" fontId="38" fillId="0" borderId="0" xfId="0" applyFont="1"/>
    <xf numFmtId="0" fontId="38" fillId="0" borderId="0" xfId="0" applyFont="1" applyAlignment="1">
      <alignment wrapText="1"/>
    </xf>
    <xf numFmtId="0" fontId="39" fillId="0" borderId="0" xfId="0" applyFont="1"/>
    <xf numFmtId="0" fontId="36" fillId="0" borderId="0" xfId="0" applyFont="1"/>
    <xf numFmtId="0" fontId="0" fillId="6" borderId="13" xfId="0" applyFill="1" applyBorder="1" applyAlignment="1">
      <alignment horizontal="center" vertical="center"/>
    </xf>
    <xf numFmtId="10" fontId="0" fillId="0" borderId="0" xfId="13" applyNumberFormat="1" applyFont="1"/>
    <xf numFmtId="10" fontId="0" fillId="0" borderId="0" xfId="0" applyNumberFormat="1"/>
    <xf numFmtId="10" fontId="0" fillId="2" borderId="14" xfId="0" applyNumberFormat="1" applyFill="1" applyBorder="1" applyAlignment="1">
      <alignment vertical="center"/>
    </xf>
    <xf numFmtId="10" fontId="0" fillId="2" borderId="29" xfId="0" applyNumberFormat="1" applyFill="1" applyBorder="1" applyAlignment="1">
      <alignment vertical="center"/>
    </xf>
    <xf numFmtId="10" fontId="0" fillId="2" borderId="40" xfId="0" applyNumberFormat="1" applyFill="1" applyBorder="1" applyAlignment="1">
      <alignment vertical="center"/>
    </xf>
    <xf numFmtId="44" fontId="0" fillId="0" borderId="0" xfId="0" applyNumberFormat="1"/>
    <xf numFmtId="49" fontId="9" fillId="0" borderId="47" xfId="0" applyNumberFormat="1" applyFont="1" applyBorder="1" applyAlignment="1">
      <alignment horizontal="center" vertical="center"/>
    </xf>
    <xf numFmtId="49" fontId="9" fillId="0" borderId="42" xfId="0" applyNumberFormat="1" applyFont="1" applyBorder="1" applyAlignment="1">
      <alignment horizontal="center" vertical="center"/>
    </xf>
    <xf numFmtId="49" fontId="12" fillId="4" borderId="33" xfId="0" applyNumberFormat="1" applyFont="1" applyFill="1" applyBorder="1" applyAlignment="1">
      <alignment horizontal="center" vertical="center" wrapText="1"/>
    </xf>
    <xf numFmtId="49" fontId="13" fillId="6" borderId="36" xfId="0" applyNumberFormat="1" applyFont="1" applyFill="1" applyBorder="1" applyAlignment="1">
      <alignment horizontal="center" vertical="center"/>
    </xf>
    <xf numFmtId="49" fontId="13" fillId="4" borderId="36" xfId="0" applyNumberFormat="1" applyFont="1" applyFill="1" applyBorder="1" applyAlignment="1">
      <alignment horizontal="center" vertical="center"/>
    </xf>
    <xf numFmtId="49" fontId="13" fillId="4" borderId="37" xfId="0" applyNumberFormat="1" applyFont="1" applyFill="1" applyBorder="1" applyAlignment="1">
      <alignment horizontal="center" vertical="center"/>
    </xf>
    <xf numFmtId="49" fontId="12" fillId="4" borderId="35" xfId="0" applyNumberFormat="1" applyFont="1" applyFill="1" applyBorder="1" applyAlignment="1">
      <alignment horizontal="center" vertical="center" wrapText="1"/>
    </xf>
    <xf numFmtId="49" fontId="13" fillId="0" borderId="7" xfId="0" applyNumberFormat="1" applyFont="1" applyBorder="1" applyAlignment="1">
      <alignment horizontal="center" vertical="center"/>
    </xf>
    <xf numFmtId="49" fontId="13" fillId="4" borderId="35" xfId="0" applyNumberFormat="1" applyFont="1" applyFill="1" applyBorder="1" applyAlignment="1">
      <alignment horizontal="center" vertical="center"/>
    </xf>
    <xf numFmtId="49" fontId="4" fillId="0" borderId="12" xfId="0" applyNumberFormat="1" applyFont="1" applyBorder="1" applyAlignment="1">
      <alignment horizontal="center" vertical="center"/>
    </xf>
    <xf numFmtId="49" fontId="4" fillId="0" borderId="1" xfId="0" applyNumberFormat="1" applyFont="1" applyBorder="1" applyAlignment="1">
      <alignment horizontal="center" vertical="center"/>
    </xf>
    <xf numFmtId="49" fontId="13" fillId="4" borderId="12" xfId="0" applyNumberFormat="1" applyFont="1" applyFill="1" applyBorder="1" applyAlignment="1">
      <alignment horizontal="center" vertical="center"/>
    </xf>
    <xf numFmtId="49" fontId="4" fillId="0" borderId="7" xfId="0" applyNumberFormat="1" applyFont="1" applyBorder="1" applyAlignment="1">
      <alignment vertical="center"/>
    </xf>
    <xf numFmtId="49" fontId="4" fillId="0" borderId="49" xfId="0" applyNumberFormat="1" applyFont="1" applyBorder="1" applyAlignment="1">
      <alignment vertical="center"/>
    </xf>
    <xf numFmtId="49" fontId="4" fillId="0" borderId="16" xfId="0" applyNumberFormat="1" applyFont="1" applyBorder="1" applyAlignment="1">
      <alignment horizontal="center" vertical="center"/>
    </xf>
    <xf numFmtId="49" fontId="4" fillId="0" borderId="27"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49" xfId="0" applyNumberFormat="1" applyFont="1" applyBorder="1" applyAlignment="1">
      <alignment horizontal="center" vertical="center"/>
    </xf>
    <xf numFmtId="49" fontId="4" fillId="0" borderId="22" xfId="0" applyNumberFormat="1" applyFont="1" applyBorder="1" applyAlignment="1">
      <alignment horizontal="center" vertical="center"/>
    </xf>
    <xf numFmtId="49" fontId="4" fillId="0" borderId="28" xfId="0" applyNumberFormat="1" applyFont="1" applyBorder="1" applyAlignment="1">
      <alignment horizontal="center" vertical="center"/>
    </xf>
    <xf numFmtId="49" fontId="13" fillId="4" borderId="1" xfId="0" applyNumberFormat="1" applyFont="1" applyFill="1" applyBorder="1" applyAlignment="1">
      <alignment horizontal="center"/>
    </xf>
    <xf numFmtId="49" fontId="13" fillId="4" borderId="16" xfId="0" applyNumberFormat="1" applyFont="1" applyFill="1" applyBorder="1" applyAlignment="1">
      <alignment horizontal="center" vertical="center"/>
    </xf>
    <xf numFmtId="49" fontId="13" fillId="4" borderId="15" xfId="0" applyNumberFormat="1" applyFont="1" applyFill="1" applyBorder="1" applyAlignment="1">
      <alignment horizontal="center" vertical="center"/>
    </xf>
    <xf numFmtId="49" fontId="13" fillId="6" borderId="12" xfId="0" applyNumberFormat="1" applyFont="1" applyFill="1" applyBorder="1" applyAlignment="1">
      <alignment horizontal="center" vertical="center"/>
    </xf>
    <xf numFmtId="49" fontId="13" fillId="4" borderId="1" xfId="0" applyNumberFormat="1" applyFont="1" applyFill="1" applyBorder="1" applyAlignment="1">
      <alignment horizontal="center" vertical="center"/>
    </xf>
    <xf numFmtId="49" fontId="4" fillId="0" borderId="0" xfId="0" applyNumberFormat="1" applyFont="1" applyAlignment="1">
      <alignment horizontal="center" vertical="center"/>
    </xf>
    <xf numFmtId="49" fontId="4" fillId="0" borderId="16" xfId="0" applyNumberFormat="1" applyFont="1" applyBorder="1" applyAlignment="1">
      <alignment vertical="center"/>
    </xf>
    <xf numFmtId="49" fontId="4" fillId="0" borderId="27" xfId="0" applyNumberFormat="1" applyFont="1" applyBorder="1" applyAlignment="1">
      <alignment vertical="center"/>
    </xf>
    <xf numFmtId="49" fontId="13" fillId="2" borderId="12" xfId="0" applyNumberFormat="1" applyFont="1" applyFill="1" applyBorder="1" applyAlignment="1">
      <alignment horizontal="center" vertical="center"/>
    </xf>
    <xf numFmtId="49" fontId="4" fillId="0" borderId="21" xfId="0" applyNumberFormat="1" applyFont="1" applyBorder="1" applyAlignment="1">
      <alignment horizontal="center" vertical="center"/>
    </xf>
    <xf numFmtId="49" fontId="12" fillId="4" borderId="2" xfId="0" applyNumberFormat="1" applyFont="1" applyFill="1" applyBorder="1" applyAlignment="1">
      <alignment horizontal="center" vertical="center"/>
    </xf>
    <xf numFmtId="49" fontId="12" fillId="4" borderId="12" xfId="0" applyNumberFormat="1" applyFont="1" applyFill="1" applyBorder="1" applyAlignment="1">
      <alignment horizontal="center" vertical="center"/>
    </xf>
    <xf numFmtId="49" fontId="17" fillId="0" borderId="12" xfId="0" applyNumberFormat="1" applyFont="1" applyBorder="1" applyAlignment="1">
      <alignment horizontal="center" vertical="center"/>
    </xf>
    <xf numFmtId="49" fontId="17" fillId="0" borderId="1" xfId="0" applyNumberFormat="1" applyFont="1" applyBorder="1" applyAlignment="1">
      <alignment horizontal="center" vertical="center"/>
    </xf>
    <xf numFmtId="49" fontId="12" fillId="4" borderId="26" xfId="0" applyNumberFormat="1" applyFont="1" applyFill="1" applyBorder="1" applyAlignment="1">
      <alignment horizontal="center" vertical="center"/>
    </xf>
    <xf numFmtId="49" fontId="12" fillId="4" borderId="80" xfId="0" applyNumberFormat="1" applyFont="1" applyFill="1" applyBorder="1" applyAlignment="1">
      <alignment horizontal="center" vertical="center"/>
    </xf>
    <xf numFmtId="49" fontId="13" fillId="4" borderId="20" xfId="0" applyNumberFormat="1" applyFont="1" applyFill="1" applyBorder="1" applyAlignment="1">
      <alignment horizontal="center" vertical="center"/>
    </xf>
    <xf numFmtId="49" fontId="12" fillId="4" borderId="1" xfId="0" applyNumberFormat="1" applyFont="1" applyFill="1" applyBorder="1" applyAlignment="1">
      <alignment horizontal="center" vertical="center"/>
    </xf>
    <xf numFmtId="49" fontId="13" fillId="4" borderId="21" xfId="0" applyNumberFormat="1" applyFont="1" applyFill="1" applyBorder="1" applyAlignment="1">
      <alignment horizontal="center" vertical="center"/>
    </xf>
    <xf numFmtId="49" fontId="24" fillId="8" borderId="1" xfId="0" applyNumberFormat="1" applyFont="1" applyFill="1" applyBorder="1" applyAlignment="1">
      <alignment horizontal="center" vertical="center"/>
    </xf>
    <xf numFmtId="49" fontId="15" fillId="8" borderId="1" xfId="0" applyNumberFormat="1" applyFont="1" applyFill="1" applyBorder="1" applyAlignment="1">
      <alignment horizontal="center" vertical="center"/>
    </xf>
    <xf numFmtId="49" fontId="22" fillId="4" borderId="12" xfId="0" applyNumberFormat="1" applyFont="1" applyFill="1" applyBorder="1" applyAlignment="1">
      <alignment horizontal="center" vertical="center"/>
    </xf>
    <xf numFmtId="49" fontId="22" fillId="4" borderId="2" xfId="0" applyNumberFormat="1" applyFont="1" applyFill="1" applyBorder="1" applyAlignment="1">
      <alignment horizontal="center" vertical="center"/>
    </xf>
    <xf numFmtId="49" fontId="24" fillId="8" borderId="2" xfId="0" applyNumberFormat="1" applyFont="1" applyFill="1" applyBorder="1" applyAlignment="1">
      <alignment horizontal="center"/>
    </xf>
    <xf numFmtId="49" fontId="13" fillId="2" borderId="2" xfId="0" applyNumberFormat="1" applyFont="1" applyFill="1" applyBorder="1" applyAlignment="1">
      <alignment horizontal="center" vertical="center"/>
    </xf>
    <xf numFmtId="49" fontId="4" fillId="0" borderId="0" xfId="0" applyNumberFormat="1" applyFont="1" applyAlignment="1">
      <alignment vertical="center"/>
    </xf>
    <xf numFmtId="49" fontId="15" fillId="8" borderId="12" xfId="0" applyNumberFormat="1" applyFont="1" applyFill="1" applyBorder="1" applyAlignment="1">
      <alignment horizontal="center"/>
    </xf>
    <xf numFmtId="49" fontId="15" fillId="8" borderId="20" xfId="0" applyNumberFormat="1" applyFont="1" applyFill="1" applyBorder="1" applyAlignment="1">
      <alignment horizontal="center"/>
    </xf>
    <xf numFmtId="49" fontId="4" fillId="0" borderId="22" xfId="0" applyNumberFormat="1" applyFont="1" applyBorder="1" applyAlignment="1">
      <alignment vertical="center"/>
    </xf>
    <xf numFmtId="49" fontId="4" fillId="0" borderId="28" xfId="0" applyNumberFormat="1" applyFont="1" applyBorder="1" applyAlignment="1">
      <alignment vertical="center"/>
    </xf>
    <xf numFmtId="49" fontId="4" fillId="2" borderId="7" xfId="0" applyNumberFormat="1" applyFont="1" applyFill="1" applyBorder="1" applyAlignment="1">
      <alignment horizontal="center" vertical="center"/>
    </xf>
    <xf numFmtId="49" fontId="4" fillId="2" borderId="0" xfId="0" applyNumberFormat="1" applyFont="1" applyFill="1" applyAlignment="1">
      <alignment horizontal="center" vertical="center"/>
    </xf>
    <xf numFmtId="49" fontId="4" fillId="2" borderId="16" xfId="0" applyNumberFormat="1" applyFont="1" applyFill="1" applyBorder="1" applyAlignment="1">
      <alignment vertical="center"/>
    </xf>
    <xf numFmtId="49" fontId="4" fillId="2" borderId="27" xfId="0" applyNumberFormat="1" applyFont="1" applyFill="1" applyBorder="1" applyAlignment="1">
      <alignment vertical="center"/>
    </xf>
    <xf numFmtId="49" fontId="13" fillId="0" borderId="0" xfId="0" applyNumberFormat="1" applyFont="1" applyAlignment="1">
      <alignment horizontal="center" vertical="center"/>
    </xf>
    <xf numFmtId="49" fontId="13" fillId="4" borderId="33" xfId="0" applyNumberFormat="1" applyFont="1" applyFill="1" applyBorder="1" applyAlignment="1">
      <alignment horizontal="center" vertical="center"/>
    </xf>
    <xf numFmtId="49" fontId="5" fillId="0" borderId="84" xfId="0" applyNumberFormat="1" applyFont="1" applyBorder="1" applyAlignment="1">
      <alignment vertical="center"/>
    </xf>
    <xf numFmtId="49" fontId="5" fillId="0" borderId="105" xfId="0" applyNumberFormat="1" applyFont="1" applyBorder="1" applyAlignment="1">
      <alignment vertical="center"/>
    </xf>
    <xf numFmtId="49" fontId="5" fillId="0" borderId="77" xfId="0" applyNumberFormat="1" applyFont="1" applyBorder="1" applyAlignment="1">
      <alignment vertical="center"/>
    </xf>
    <xf numFmtId="49" fontId="5" fillId="0" borderId="0" xfId="0" applyNumberFormat="1" applyFont="1" applyAlignment="1">
      <alignment vertical="center"/>
    </xf>
    <xf numFmtId="0" fontId="11" fillId="7" borderId="1" xfId="0" applyFont="1" applyFill="1" applyBorder="1" applyAlignment="1">
      <alignment wrapText="1"/>
    </xf>
    <xf numFmtId="0" fontId="0" fillId="2" borderId="10" xfId="0" applyFill="1" applyBorder="1" applyAlignment="1">
      <alignment horizontal="center" vertical="center"/>
    </xf>
    <xf numFmtId="10" fontId="4" fillId="0" borderId="0" xfId="13" applyNumberFormat="1" applyFont="1" applyAlignment="1">
      <alignment horizontal="center" vertical="center"/>
    </xf>
    <xf numFmtId="2" fontId="27" fillId="0" borderId="0" xfId="0" applyNumberFormat="1" applyFont="1" applyAlignment="1">
      <alignment horizontal="center" vertical="center"/>
    </xf>
    <xf numFmtId="2" fontId="27" fillId="0" borderId="66" xfId="0" applyNumberFormat="1" applyFont="1" applyBorder="1" applyAlignment="1">
      <alignment horizontal="center" vertical="center"/>
    </xf>
    <xf numFmtId="49" fontId="4" fillId="0" borderId="16" xfId="0" applyNumberFormat="1" applyFont="1" applyBorder="1" applyAlignment="1">
      <alignment horizontal="center" vertical="center"/>
    </xf>
    <xf numFmtId="49" fontId="4" fillId="0" borderId="15"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0" xfId="0" applyNumberFormat="1" applyFont="1" applyAlignment="1">
      <alignment horizontal="center" vertical="center"/>
    </xf>
    <xf numFmtId="49" fontId="4" fillId="0" borderId="22" xfId="0" applyNumberFormat="1" applyFont="1" applyBorder="1" applyAlignment="1">
      <alignment horizontal="center" vertical="center"/>
    </xf>
    <xf numFmtId="49" fontId="4" fillId="0" borderId="21" xfId="0" applyNumberFormat="1" applyFont="1" applyBorder="1" applyAlignment="1">
      <alignment horizontal="center" vertical="center"/>
    </xf>
    <xf numFmtId="49" fontId="13" fillId="0" borderId="16" xfId="0" applyNumberFormat="1" applyFont="1" applyBorder="1" applyAlignment="1">
      <alignment horizontal="center" vertical="center"/>
    </xf>
    <xf numFmtId="49" fontId="13" fillId="0" borderId="15" xfId="0" applyNumberFormat="1" applyFont="1" applyBorder="1" applyAlignment="1">
      <alignment horizontal="center" vertical="center"/>
    </xf>
    <xf numFmtId="49" fontId="13" fillId="0" borderId="22" xfId="0" applyNumberFormat="1" applyFont="1" applyBorder="1" applyAlignment="1">
      <alignment horizontal="center" vertical="center"/>
    </xf>
    <xf numFmtId="49" fontId="13" fillId="0" borderId="21" xfId="0" applyNumberFormat="1" applyFont="1" applyBorder="1" applyAlignment="1">
      <alignment horizontal="center" vertical="center"/>
    </xf>
    <xf numFmtId="2" fontId="23" fillId="0" borderId="1" xfId="1" applyNumberFormat="1" applyFont="1" applyBorder="1" applyAlignment="1">
      <alignment horizontal="center" vertical="center"/>
    </xf>
    <xf numFmtId="2" fontId="23" fillId="0" borderId="73" xfId="1" applyNumberFormat="1" applyFont="1" applyBorder="1" applyAlignment="1">
      <alignment horizontal="center" vertical="center"/>
    </xf>
    <xf numFmtId="2" fontId="22" fillId="4" borderId="1" xfId="0" applyNumberFormat="1" applyFont="1" applyFill="1" applyBorder="1" applyAlignment="1">
      <alignment horizontal="center" vertical="center"/>
    </xf>
    <xf numFmtId="2" fontId="22" fillId="4" borderId="73" xfId="0" applyNumberFormat="1" applyFont="1" applyFill="1" applyBorder="1" applyAlignment="1">
      <alignment horizontal="center" vertical="center"/>
    </xf>
    <xf numFmtId="49" fontId="23" fillId="0" borderId="12" xfId="0" applyNumberFormat="1" applyFont="1" applyBorder="1" applyAlignment="1">
      <alignment horizontal="center" vertical="center"/>
    </xf>
    <xf numFmtId="49" fontId="23" fillId="0" borderId="1" xfId="0" applyNumberFormat="1" applyFont="1" applyBorder="1" applyAlignment="1">
      <alignment horizontal="center" vertical="center"/>
    </xf>
    <xf numFmtId="49" fontId="4" fillId="0" borderId="12" xfId="0" applyNumberFormat="1" applyFont="1" applyBorder="1" applyAlignment="1">
      <alignment horizontal="center" vertical="center"/>
    </xf>
    <xf numFmtId="49" fontId="4" fillId="0" borderId="1" xfId="0" applyNumberFormat="1" applyFont="1" applyBorder="1" applyAlignment="1">
      <alignment horizontal="center" vertical="center"/>
    </xf>
    <xf numFmtId="2" fontId="4" fillId="0" borderId="1" xfId="1" applyNumberFormat="1" applyFont="1" applyBorder="1" applyAlignment="1">
      <alignment horizontal="center" vertical="center"/>
    </xf>
    <xf numFmtId="2" fontId="13" fillId="4" borderId="1" xfId="0" applyNumberFormat="1" applyFont="1" applyFill="1" applyBorder="1" applyAlignment="1">
      <alignment horizontal="center" vertical="center"/>
    </xf>
    <xf numFmtId="2" fontId="14" fillId="0" borderId="1" xfId="1" applyNumberFormat="1" applyFont="1" applyBorder="1" applyAlignment="1">
      <alignment horizontal="center" vertical="center"/>
    </xf>
    <xf numFmtId="49" fontId="4" fillId="0" borderId="27" xfId="0" applyNumberFormat="1" applyFont="1" applyBorder="1" applyAlignment="1">
      <alignment horizontal="center" vertical="center"/>
    </xf>
    <xf numFmtId="49" fontId="4" fillId="0" borderId="28" xfId="0" applyNumberFormat="1" applyFont="1" applyBorder="1" applyAlignment="1">
      <alignment horizontal="center" vertical="center"/>
    </xf>
    <xf numFmtId="49" fontId="4" fillId="0" borderId="49" xfId="0" applyNumberFormat="1" applyFont="1" applyBorder="1" applyAlignment="1">
      <alignment horizontal="center" vertical="center"/>
    </xf>
    <xf numFmtId="2" fontId="22" fillId="5" borderId="2" xfId="0" applyNumberFormat="1" applyFont="1" applyFill="1" applyBorder="1" applyAlignment="1">
      <alignment horizontal="center" vertical="center"/>
    </xf>
    <xf numFmtId="2" fontId="22" fillId="5" borderId="3" xfId="0" applyNumberFormat="1" applyFont="1" applyFill="1" applyBorder="1" applyAlignment="1">
      <alignment horizontal="center" vertical="center"/>
    </xf>
    <xf numFmtId="2" fontId="23" fillId="0" borderId="2" xfId="0" applyNumberFormat="1" applyFont="1" applyBorder="1" applyAlignment="1">
      <alignment horizontal="center" vertical="center"/>
    </xf>
    <xf numFmtId="2" fontId="23" fillId="0" borderId="3" xfId="0" applyNumberFormat="1" applyFont="1" applyBorder="1" applyAlignment="1">
      <alignment horizontal="center" vertical="center"/>
    </xf>
    <xf numFmtId="0" fontId="13" fillId="6" borderId="30" xfId="0" applyFont="1" applyFill="1" applyBorder="1" applyAlignment="1">
      <alignment horizontal="left" vertical="center"/>
    </xf>
    <xf numFmtId="0" fontId="13" fillId="6" borderId="20" xfId="0" applyFont="1" applyFill="1" applyBorder="1" applyAlignment="1">
      <alignment horizontal="left" vertical="center"/>
    </xf>
    <xf numFmtId="0" fontId="13" fillId="6" borderId="25" xfId="0" applyFont="1" applyFill="1" applyBorder="1" applyAlignment="1">
      <alignment horizontal="left" vertical="center"/>
    </xf>
    <xf numFmtId="2" fontId="4" fillId="0" borderId="20" xfId="1" applyNumberFormat="1" applyFont="1" applyBorder="1" applyAlignment="1">
      <alignment horizontal="center" vertical="center"/>
    </xf>
    <xf numFmtId="2" fontId="4" fillId="0" borderId="3" xfId="1" applyNumberFormat="1" applyFont="1" applyBorder="1" applyAlignment="1">
      <alignment horizontal="center" vertical="center"/>
    </xf>
    <xf numFmtId="2" fontId="13" fillId="4" borderId="2" xfId="0" applyNumberFormat="1" applyFont="1" applyFill="1" applyBorder="1" applyAlignment="1">
      <alignment horizontal="center" vertical="center"/>
    </xf>
    <xf numFmtId="2" fontId="13" fillId="4" borderId="3" xfId="0" applyNumberFormat="1" applyFont="1" applyFill="1" applyBorder="1" applyAlignment="1">
      <alignment horizontal="center" vertical="center"/>
    </xf>
    <xf numFmtId="2" fontId="4" fillId="2" borderId="2" xfId="1" applyNumberFormat="1" applyFont="1" applyFill="1" applyBorder="1" applyAlignment="1">
      <alignment horizontal="center" vertical="center"/>
    </xf>
    <xf numFmtId="2" fontId="4" fillId="2" borderId="3" xfId="1" applyNumberFormat="1" applyFont="1" applyFill="1" applyBorder="1" applyAlignment="1">
      <alignment horizontal="center" vertical="center"/>
    </xf>
    <xf numFmtId="49" fontId="4" fillId="0" borderId="30" xfId="0" applyNumberFormat="1" applyFont="1" applyBorder="1" applyAlignment="1">
      <alignment horizontal="center" vertical="center"/>
    </xf>
    <xf numFmtId="49" fontId="4" fillId="0" borderId="3" xfId="0" applyNumberFormat="1" applyFont="1" applyBorder="1" applyAlignment="1">
      <alignment horizontal="center" vertical="center"/>
    </xf>
    <xf numFmtId="2" fontId="4" fillId="0" borderId="2" xfId="1" applyNumberFormat="1" applyFont="1" applyBorder="1" applyAlignment="1">
      <alignment horizontal="center" vertical="center"/>
    </xf>
    <xf numFmtId="2" fontId="4" fillId="0" borderId="1" xfId="0" applyNumberFormat="1" applyFont="1" applyBorder="1" applyAlignment="1">
      <alignment horizontal="center" vertical="center"/>
    </xf>
    <xf numFmtId="49" fontId="13" fillId="0" borderId="27" xfId="0" applyNumberFormat="1" applyFont="1" applyBorder="1" applyAlignment="1">
      <alignment horizontal="center" vertical="center"/>
    </xf>
    <xf numFmtId="49" fontId="13" fillId="0" borderId="7" xfId="0" applyNumberFormat="1" applyFont="1" applyBorder="1" applyAlignment="1">
      <alignment horizontal="center" vertical="center"/>
    </xf>
    <xf numFmtId="49" fontId="13" fillId="0" borderId="49" xfId="0" applyNumberFormat="1" applyFont="1" applyBorder="1" applyAlignment="1">
      <alignment horizontal="center" vertical="center"/>
    </xf>
    <xf numFmtId="49" fontId="13" fillId="0" borderId="28" xfId="0" applyNumberFormat="1" applyFont="1" applyBorder="1" applyAlignment="1">
      <alignment horizontal="center" vertical="center"/>
    </xf>
    <xf numFmtId="49" fontId="4" fillId="0" borderId="103" xfId="0" applyNumberFormat="1" applyFont="1" applyBorder="1" applyAlignment="1">
      <alignment horizontal="center" vertical="center"/>
    </xf>
    <xf numFmtId="49" fontId="4" fillId="0" borderId="104" xfId="0" applyNumberFormat="1" applyFont="1" applyBorder="1" applyAlignment="1">
      <alignment horizontal="center" vertical="center"/>
    </xf>
    <xf numFmtId="0" fontId="13" fillId="3" borderId="7" xfId="0" applyFont="1" applyFill="1" applyBorder="1" applyAlignment="1">
      <alignment horizontal="center"/>
    </xf>
    <xf numFmtId="0" fontId="13" fillId="3" borderId="21" xfId="0" applyFont="1" applyFill="1" applyBorder="1" applyAlignment="1">
      <alignment horizontal="center"/>
    </xf>
    <xf numFmtId="0" fontId="13" fillId="3" borderId="20" xfId="0" applyFont="1" applyFill="1" applyBorder="1" applyAlignment="1">
      <alignment horizontal="center"/>
    </xf>
    <xf numFmtId="0" fontId="13" fillId="3" borderId="3" xfId="0" applyFont="1" applyFill="1" applyBorder="1" applyAlignment="1">
      <alignment horizontal="center"/>
    </xf>
    <xf numFmtId="0" fontId="13" fillId="6" borderId="37" xfId="0" applyFont="1" applyFill="1" applyBorder="1" applyAlignment="1">
      <alignment horizontal="left" vertical="center"/>
    </xf>
    <xf numFmtId="0" fontId="13" fillId="6" borderId="23" xfId="0" applyFont="1" applyFill="1" applyBorder="1" applyAlignment="1">
      <alignment horizontal="left" vertical="center"/>
    </xf>
    <xf numFmtId="0" fontId="4" fillId="6" borderId="23" xfId="0" applyFont="1" applyFill="1" applyBorder="1" applyAlignment="1">
      <alignment horizontal="left" vertical="center"/>
    </xf>
    <xf numFmtId="0" fontId="4" fillId="6" borderId="24" xfId="0" applyFont="1" applyFill="1" applyBorder="1" applyAlignment="1">
      <alignment horizontal="left" vertical="center"/>
    </xf>
    <xf numFmtId="2" fontId="13" fillId="4" borderId="1" xfId="2" applyNumberFormat="1" applyFont="1" applyFill="1" applyBorder="1" applyAlignment="1">
      <alignment horizontal="center" vertical="center"/>
    </xf>
    <xf numFmtId="2" fontId="4" fillId="0" borderId="2" xfId="0" applyNumberFormat="1" applyFont="1" applyBorder="1" applyAlignment="1">
      <alignment horizontal="center" vertical="center"/>
    </xf>
    <xf numFmtId="2" fontId="4" fillId="0" borderId="3" xfId="0" applyNumberFormat="1" applyFont="1" applyBorder="1" applyAlignment="1">
      <alignment horizontal="center" vertical="center"/>
    </xf>
    <xf numFmtId="49" fontId="4" fillId="2" borderId="7" xfId="0" applyNumberFormat="1" applyFont="1" applyFill="1" applyBorder="1" applyAlignment="1">
      <alignment horizontal="center" vertical="center"/>
    </xf>
    <xf numFmtId="49" fontId="4" fillId="2" borderId="49" xfId="0" applyNumberFormat="1" applyFont="1" applyFill="1" applyBorder="1" applyAlignment="1">
      <alignment horizontal="center" vertical="center"/>
    </xf>
    <xf numFmtId="49" fontId="4" fillId="2" borderId="22" xfId="0" applyNumberFormat="1" applyFont="1" applyFill="1" applyBorder="1" applyAlignment="1">
      <alignment horizontal="center" vertical="center"/>
    </xf>
    <xf numFmtId="49" fontId="4" fillId="2" borderId="28" xfId="0" applyNumberFormat="1" applyFont="1" applyFill="1" applyBorder="1" applyAlignment="1">
      <alignment horizontal="center" vertical="center"/>
    </xf>
    <xf numFmtId="49" fontId="13" fillId="0" borderId="30" xfId="0" applyNumberFormat="1" applyFont="1" applyBorder="1" applyAlignment="1">
      <alignment horizontal="center" vertical="center"/>
    </xf>
    <xf numFmtId="49" fontId="13" fillId="0" borderId="3" xfId="0" applyNumberFormat="1" applyFont="1" applyBorder="1" applyAlignment="1">
      <alignment horizontal="center" vertical="center"/>
    </xf>
    <xf numFmtId="49" fontId="4" fillId="2" borderId="30" xfId="0" applyNumberFormat="1" applyFont="1" applyFill="1" applyBorder="1" applyAlignment="1">
      <alignment horizontal="center" vertical="center"/>
    </xf>
    <xf numFmtId="49" fontId="4" fillId="2" borderId="3" xfId="0" applyNumberFormat="1" applyFont="1" applyFill="1" applyBorder="1" applyAlignment="1">
      <alignment horizontal="center" vertical="center"/>
    </xf>
    <xf numFmtId="49" fontId="13" fillId="0" borderId="12" xfId="0" applyNumberFormat="1" applyFont="1" applyBorder="1" applyAlignment="1">
      <alignment horizontal="center" vertical="center"/>
    </xf>
    <xf numFmtId="49" fontId="13" fillId="0" borderId="1" xfId="0" applyNumberFormat="1" applyFont="1" applyBorder="1" applyAlignment="1">
      <alignment horizontal="center" vertical="center"/>
    </xf>
    <xf numFmtId="0" fontId="13" fillId="6" borderId="2" xfId="0" applyFont="1" applyFill="1" applyBorder="1" applyAlignment="1">
      <alignment horizontal="left" vertical="center"/>
    </xf>
    <xf numFmtId="0" fontId="13" fillId="6" borderId="3" xfId="0" applyFont="1" applyFill="1" applyBorder="1" applyAlignment="1">
      <alignment horizontal="left" vertical="center"/>
    </xf>
    <xf numFmtId="2" fontId="4" fillId="2" borderId="20" xfId="1" applyNumberFormat="1" applyFont="1" applyFill="1" applyBorder="1" applyAlignment="1">
      <alignment horizontal="center" vertical="center"/>
    </xf>
    <xf numFmtId="2" fontId="4" fillId="2" borderId="1" xfId="1" applyNumberFormat="1" applyFont="1" applyFill="1" applyBorder="1" applyAlignment="1">
      <alignment horizontal="center" vertical="center"/>
    </xf>
    <xf numFmtId="2" fontId="13" fillId="5" borderId="2" xfId="0" applyNumberFormat="1" applyFont="1" applyFill="1" applyBorder="1" applyAlignment="1">
      <alignment horizontal="center" vertical="center"/>
    </xf>
    <xf numFmtId="2" fontId="13" fillId="5" borderId="3" xfId="0" applyNumberFormat="1" applyFont="1" applyFill="1" applyBorder="1" applyAlignment="1">
      <alignment horizontal="center" vertical="center"/>
    </xf>
    <xf numFmtId="0" fontId="13" fillId="6" borderId="21" xfId="0" applyFont="1" applyFill="1" applyBorder="1" applyAlignment="1">
      <alignment horizontal="left" vertical="center"/>
    </xf>
    <xf numFmtId="0" fontId="13" fillId="0" borderId="0" xfId="0" applyFont="1" applyAlignment="1">
      <alignment horizontal="center" vertical="center"/>
    </xf>
    <xf numFmtId="0" fontId="13" fillId="6" borderId="1" xfId="0" applyFont="1" applyFill="1" applyBorder="1" applyAlignment="1">
      <alignment horizontal="left" vertical="center"/>
    </xf>
    <xf numFmtId="49" fontId="4" fillId="0" borderId="20" xfId="0" applyNumberFormat="1" applyFont="1" applyBorder="1" applyAlignment="1">
      <alignment horizontal="center" vertical="center"/>
    </xf>
    <xf numFmtId="49" fontId="13" fillId="2" borderId="12" xfId="0" applyNumberFormat="1" applyFont="1" applyFill="1" applyBorder="1" applyAlignment="1">
      <alignment horizontal="center" vertical="center"/>
    </xf>
    <xf numFmtId="49" fontId="13" fillId="2" borderId="1" xfId="0" applyNumberFormat="1" applyFont="1" applyFill="1" applyBorder="1" applyAlignment="1">
      <alignment horizontal="center" vertical="center"/>
    </xf>
    <xf numFmtId="2" fontId="14" fillId="0" borderId="2" xfId="1" applyNumberFormat="1" applyFont="1" applyBorder="1" applyAlignment="1">
      <alignment horizontal="center" vertical="center"/>
    </xf>
    <xf numFmtId="2" fontId="14" fillId="0" borderId="3" xfId="1" applyNumberFormat="1" applyFont="1" applyBorder="1" applyAlignment="1">
      <alignment horizontal="center" vertical="center"/>
    </xf>
    <xf numFmtId="2" fontId="4" fillId="2" borderId="2" xfId="0" applyNumberFormat="1" applyFont="1" applyFill="1" applyBorder="1" applyAlignment="1">
      <alignment horizontal="center" vertical="center"/>
    </xf>
    <xf numFmtId="2" fontId="4" fillId="2" borderId="3" xfId="0" applyNumberFormat="1" applyFont="1" applyFill="1" applyBorder="1" applyAlignment="1">
      <alignment horizontal="center" vertical="center"/>
    </xf>
    <xf numFmtId="49" fontId="4" fillId="0" borderId="2" xfId="0" applyNumberFormat="1" applyFont="1" applyBorder="1" applyAlignment="1">
      <alignment horizontal="center" vertical="center"/>
    </xf>
    <xf numFmtId="0" fontId="13" fillId="3" borderId="30" xfId="0" applyFont="1" applyFill="1" applyBorder="1" applyAlignment="1">
      <alignment horizontal="center"/>
    </xf>
    <xf numFmtId="2" fontId="23" fillId="0" borderId="2" xfId="1" applyNumberFormat="1" applyFont="1" applyBorder="1" applyAlignment="1">
      <alignment horizontal="center" vertical="center"/>
    </xf>
    <xf numFmtId="2" fontId="22" fillId="4" borderId="2" xfId="0" applyNumberFormat="1" applyFont="1" applyFill="1" applyBorder="1" applyAlignment="1">
      <alignment horizontal="center" vertical="center"/>
    </xf>
    <xf numFmtId="0" fontId="13" fillId="6" borderId="12" xfId="0" applyFont="1" applyFill="1" applyBorder="1" applyAlignment="1">
      <alignment horizontal="left" vertical="center"/>
    </xf>
    <xf numFmtId="0" fontId="4" fillId="6" borderId="1" xfId="0" applyFont="1" applyFill="1" applyBorder="1" applyAlignment="1">
      <alignment horizontal="left" vertical="center"/>
    </xf>
    <xf numFmtId="0" fontId="4" fillId="6" borderId="13" xfId="0" applyFont="1" applyFill="1" applyBorder="1" applyAlignment="1">
      <alignment horizontal="left" vertical="center"/>
    </xf>
    <xf numFmtId="2" fontId="13" fillId="4" borderId="2" xfId="2" applyNumberFormat="1" applyFont="1" applyFill="1" applyBorder="1" applyAlignment="1">
      <alignment horizontal="center" vertical="center"/>
    </xf>
    <xf numFmtId="2" fontId="13" fillId="4" borderId="3" xfId="2" applyNumberFormat="1" applyFont="1" applyFill="1" applyBorder="1" applyAlignment="1">
      <alignment horizontal="center" vertical="center"/>
    </xf>
    <xf numFmtId="49" fontId="4" fillId="0" borderId="69" xfId="0" applyNumberFormat="1" applyFont="1" applyBorder="1" applyAlignment="1">
      <alignment horizontal="center" vertical="center"/>
    </xf>
    <xf numFmtId="49" fontId="4" fillId="0" borderId="90" xfId="0" applyNumberFormat="1" applyFont="1" applyBorder="1" applyAlignment="1">
      <alignment horizontal="center" vertical="center"/>
    </xf>
    <xf numFmtId="49" fontId="13" fillId="2" borderId="16" xfId="0" applyNumberFormat="1" applyFont="1" applyFill="1" applyBorder="1" applyAlignment="1">
      <alignment horizontal="center" vertical="center"/>
    </xf>
    <xf numFmtId="49" fontId="13" fillId="2" borderId="15" xfId="0" applyNumberFormat="1" applyFont="1" applyFill="1" applyBorder="1" applyAlignment="1">
      <alignment horizontal="center" vertical="center"/>
    </xf>
    <xf numFmtId="49" fontId="13" fillId="2" borderId="7" xfId="0" applyNumberFormat="1" applyFont="1" applyFill="1" applyBorder="1" applyAlignment="1">
      <alignment horizontal="center" vertical="center"/>
    </xf>
    <xf numFmtId="49" fontId="13" fillId="2" borderId="0" xfId="0" applyNumberFormat="1" applyFont="1" applyFill="1" applyAlignment="1">
      <alignment horizontal="center" vertical="center"/>
    </xf>
    <xf numFmtId="0" fontId="4" fillId="0" borderId="16" xfId="0" applyFont="1" applyBorder="1" applyAlignment="1">
      <alignment horizontal="center" vertical="center"/>
    </xf>
    <xf numFmtId="0" fontId="4" fillId="0" borderId="27" xfId="0" applyFont="1" applyBorder="1" applyAlignment="1">
      <alignment horizontal="center" vertical="center"/>
    </xf>
    <xf numFmtId="0" fontId="4" fillId="0" borderId="7" xfId="0" applyFont="1" applyBorder="1" applyAlignment="1">
      <alignment horizontal="center" vertical="center"/>
    </xf>
    <xf numFmtId="0" fontId="4" fillId="0" borderId="49" xfId="0" applyFont="1" applyBorder="1" applyAlignment="1">
      <alignment horizontal="center" vertical="center"/>
    </xf>
    <xf numFmtId="49" fontId="4" fillId="2" borderId="16" xfId="0" applyNumberFormat="1" applyFont="1" applyFill="1" applyBorder="1" applyAlignment="1">
      <alignment horizontal="center" vertical="center"/>
    </xf>
    <xf numFmtId="49" fontId="4" fillId="2" borderId="27" xfId="0" applyNumberFormat="1" applyFont="1" applyFill="1" applyBorder="1" applyAlignment="1">
      <alignment horizontal="center" vertical="center"/>
    </xf>
    <xf numFmtId="0" fontId="16" fillId="0" borderId="20" xfId="0" applyFont="1" applyBorder="1" applyAlignment="1">
      <alignment horizontal="center"/>
    </xf>
    <xf numFmtId="0" fontId="16" fillId="0" borderId="3" xfId="0" applyFont="1" applyBorder="1" applyAlignment="1">
      <alignment horizontal="center"/>
    </xf>
    <xf numFmtId="2" fontId="4" fillId="0" borderId="2" xfId="2" applyNumberFormat="1" applyFont="1" applyFill="1" applyBorder="1" applyAlignment="1">
      <alignment horizontal="center" vertical="center"/>
    </xf>
    <xf numFmtId="2" fontId="4" fillId="0" borderId="3" xfId="2" applyNumberFormat="1" applyFont="1" applyFill="1" applyBorder="1" applyAlignment="1">
      <alignment horizontal="center" vertical="center"/>
    </xf>
    <xf numFmtId="49" fontId="4" fillId="0" borderId="37" xfId="0" applyNumberFormat="1" applyFont="1" applyBorder="1" applyAlignment="1">
      <alignment horizontal="center" vertical="center"/>
    </xf>
    <xf numFmtId="49" fontId="4" fillId="0" borderId="36" xfId="0" applyNumberFormat="1" applyFont="1" applyBorder="1" applyAlignment="1">
      <alignment horizontal="center" vertical="center"/>
    </xf>
    <xf numFmtId="49" fontId="17" fillId="0" borderId="12" xfId="0" applyNumberFormat="1" applyFont="1" applyBorder="1" applyAlignment="1">
      <alignment horizontal="center" vertical="center"/>
    </xf>
    <xf numFmtId="49" fontId="17" fillId="0" borderId="1" xfId="0" applyNumberFormat="1" applyFont="1" applyBorder="1" applyAlignment="1">
      <alignment horizontal="center" vertical="center"/>
    </xf>
    <xf numFmtId="2" fontId="14" fillId="0" borderId="2" xfId="0" applyNumberFormat="1" applyFont="1" applyBorder="1" applyAlignment="1">
      <alignment horizontal="center" vertical="center"/>
    </xf>
    <xf numFmtId="2" fontId="14" fillId="0" borderId="3" xfId="0" applyNumberFormat="1" applyFont="1" applyBorder="1" applyAlignment="1">
      <alignment horizontal="center" vertical="center"/>
    </xf>
    <xf numFmtId="49" fontId="23" fillId="0" borderId="16" xfId="0" applyNumberFormat="1" applyFont="1" applyBorder="1" applyAlignment="1">
      <alignment horizontal="center" vertical="center"/>
    </xf>
    <xf numFmtId="49" fontId="23" fillId="0" borderId="27" xfId="0" applyNumberFormat="1" applyFont="1" applyBorder="1" applyAlignment="1">
      <alignment horizontal="center" vertical="center"/>
    </xf>
    <xf numFmtId="49" fontId="23" fillId="0" borderId="7" xfId="0" applyNumberFormat="1" applyFont="1" applyBorder="1" applyAlignment="1">
      <alignment horizontal="center" vertical="center"/>
    </xf>
    <xf numFmtId="49" fontId="23" fillId="0" borderId="49" xfId="0" applyNumberFormat="1" applyFont="1" applyBorder="1" applyAlignment="1">
      <alignment horizontal="center" vertical="center"/>
    </xf>
    <xf numFmtId="49" fontId="23" fillId="0" borderId="22" xfId="0" applyNumberFormat="1" applyFont="1" applyBorder="1" applyAlignment="1">
      <alignment horizontal="center" vertical="center"/>
    </xf>
    <xf numFmtId="49" fontId="23" fillId="0" borderId="28" xfId="0" applyNumberFormat="1" applyFont="1" applyBorder="1" applyAlignment="1">
      <alignment horizontal="center" vertical="center"/>
    </xf>
    <xf numFmtId="2" fontId="23" fillId="0" borderId="3" xfId="1" applyNumberFormat="1" applyFont="1" applyBorder="1" applyAlignment="1">
      <alignment horizontal="center" vertical="center"/>
    </xf>
    <xf numFmtId="0" fontId="13" fillId="6" borderId="2" xfId="0" applyFont="1" applyFill="1" applyBorder="1" applyAlignment="1">
      <alignment horizontal="left"/>
    </xf>
    <xf numFmtId="0" fontId="13" fillId="6" borderId="20" xfId="0" applyFont="1" applyFill="1" applyBorder="1" applyAlignment="1">
      <alignment horizontal="left"/>
    </xf>
    <xf numFmtId="0" fontId="13" fillId="6" borderId="3" xfId="0" applyFont="1" applyFill="1" applyBorder="1" applyAlignment="1">
      <alignment horizontal="left"/>
    </xf>
    <xf numFmtId="0" fontId="15" fillId="11" borderId="74" xfId="0" applyFont="1" applyFill="1" applyBorder="1" applyAlignment="1">
      <alignment horizontal="center" vertical="center"/>
    </xf>
    <xf numFmtId="0" fontId="15" fillId="11" borderId="75" xfId="0" applyFont="1" applyFill="1" applyBorder="1" applyAlignment="1">
      <alignment horizontal="center" vertical="center"/>
    </xf>
    <xf numFmtId="0" fontId="15" fillId="11" borderId="76" xfId="0" applyFont="1" applyFill="1" applyBorder="1" applyAlignment="1">
      <alignment horizontal="center" vertical="center"/>
    </xf>
    <xf numFmtId="0" fontId="15" fillId="0" borderId="77" xfId="0" applyFont="1" applyBorder="1" applyAlignment="1">
      <alignment horizontal="center" vertical="center"/>
    </xf>
    <xf numFmtId="0" fontId="15" fillId="0" borderId="0" xfId="0" applyFont="1" applyAlignment="1">
      <alignment horizontal="center" vertical="center"/>
    </xf>
    <xf numFmtId="0" fontId="15" fillId="0" borderId="66" xfId="0" applyFont="1" applyBorder="1" applyAlignment="1">
      <alignment horizontal="center" vertical="center"/>
    </xf>
    <xf numFmtId="0" fontId="4" fillId="6" borderId="20" xfId="0" applyFont="1" applyFill="1" applyBorder="1" applyAlignment="1">
      <alignment horizontal="left" vertical="center"/>
    </xf>
    <xf numFmtId="0" fontId="4" fillId="6" borderId="25" xfId="0" applyFont="1" applyFill="1" applyBorder="1" applyAlignment="1">
      <alignment horizontal="left" vertical="center"/>
    </xf>
    <xf numFmtId="0" fontId="13" fillId="6" borderId="33" xfId="0" applyFont="1" applyFill="1" applyBorder="1" applyAlignment="1">
      <alignment horizontal="left" vertical="center"/>
    </xf>
    <xf numFmtId="0" fontId="13" fillId="6" borderId="15" xfId="0" applyFont="1" applyFill="1" applyBorder="1" applyAlignment="1">
      <alignment horizontal="left" vertical="center"/>
    </xf>
    <xf numFmtId="0" fontId="13" fillId="6" borderId="27" xfId="0" applyFont="1" applyFill="1" applyBorder="1" applyAlignment="1">
      <alignment horizontal="left" vertical="center"/>
    </xf>
    <xf numFmtId="0" fontId="30" fillId="0" borderId="9" xfId="0" applyFont="1" applyBorder="1" applyAlignment="1">
      <alignment horizontal="center" vertical="center"/>
    </xf>
    <xf numFmtId="0" fontId="30" fillId="0" borderId="10" xfId="0" applyFont="1" applyBorder="1" applyAlignment="1">
      <alignment horizontal="center" vertical="center"/>
    </xf>
    <xf numFmtId="0" fontId="30" fillId="0" borderId="11" xfId="0" applyFont="1" applyBorder="1" applyAlignment="1">
      <alignment horizontal="center" vertical="center"/>
    </xf>
    <xf numFmtId="2" fontId="13" fillId="6" borderId="35" xfId="1" applyNumberFormat="1" applyFont="1" applyFill="1" applyBorder="1" applyAlignment="1">
      <alignment horizontal="center" vertical="center"/>
    </xf>
    <xf numFmtId="2" fontId="13" fillId="6" borderId="21" xfId="1" applyNumberFormat="1" applyFont="1" applyFill="1" applyBorder="1" applyAlignment="1">
      <alignment horizontal="center" vertical="center"/>
    </xf>
    <xf numFmtId="2" fontId="13" fillId="6" borderId="18" xfId="1" applyNumberFormat="1" applyFont="1" applyFill="1" applyBorder="1" applyAlignment="1">
      <alignment horizontal="center" vertical="center"/>
    </xf>
    <xf numFmtId="49" fontId="13" fillId="2" borderId="95" xfId="0" applyNumberFormat="1" applyFont="1" applyFill="1" applyBorder="1" applyAlignment="1">
      <alignment horizontal="center" vertical="center"/>
    </xf>
    <xf numFmtId="49" fontId="13" fillId="2" borderId="96" xfId="0" applyNumberFormat="1" applyFont="1" applyFill="1" applyBorder="1" applyAlignment="1">
      <alignment horizontal="center" vertical="center"/>
    </xf>
    <xf numFmtId="49" fontId="13" fillId="2" borderId="79" xfId="0" applyNumberFormat="1" applyFont="1" applyFill="1" applyBorder="1" applyAlignment="1">
      <alignment horizontal="center" vertical="center"/>
    </xf>
    <xf numFmtId="49" fontId="13" fillId="2" borderId="73" xfId="0" applyNumberFormat="1" applyFont="1" applyFill="1" applyBorder="1" applyAlignment="1">
      <alignment horizontal="center" vertical="center"/>
    </xf>
    <xf numFmtId="49" fontId="13" fillId="2" borderId="97" xfId="0" applyNumberFormat="1" applyFont="1" applyFill="1" applyBorder="1" applyAlignment="1">
      <alignment horizontal="center" vertical="center"/>
    </xf>
    <xf numFmtId="49" fontId="13" fillId="2" borderId="98" xfId="0" applyNumberFormat="1" applyFont="1" applyFill="1" applyBorder="1" applyAlignment="1">
      <alignment horizontal="center" vertical="center"/>
    </xf>
    <xf numFmtId="0" fontId="24" fillId="0" borderId="77" xfId="0" applyFont="1" applyBorder="1" applyAlignment="1">
      <alignment horizontal="center" vertical="center"/>
    </xf>
    <xf numFmtId="0" fontId="24" fillId="0" borderId="0" xfId="0" applyFont="1" applyAlignment="1">
      <alignment horizontal="center" vertical="center"/>
    </xf>
    <xf numFmtId="0" fontId="24" fillId="0" borderId="66" xfId="0" applyFont="1" applyBorder="1" applyAlignment="1">
      <alignment horizontal="center" vertical="center"/>
    </xf>
    <xf numFmtId="0" fontId="15" fillId="0" borderId="64" xfId="0" applyFont="1" applyBorder="1" applyAlignment="1">
      <alignment horizontal="center" vertical="center" wrapText="1"/>
    </xf>
    <xf numFmtId="49" fontId="13" fillId="6" borderId="12" xfId="0" applyNumberFormat="1" applyFont="1" applyFill="1" applyBorder="1" applyAlignment="1">
      <alignment horizontal="center" vertical="center"/>
    </xf>
    <xf numFmtId="49" fontId="13" fillId="6" borderId="1" xfId="0" applyNumberFormat="1" applyFont="1" applyFill="1" applyBorder="1" applyAlignment="1">
      <alignment horizontal="center" vertical="center"/>
    </xf>
    <xf numFmtId="2" fontId="23" fillId="0" borderId="1" xfId="2" applyNumberFormat="1" applyFont="1" applyBorder="1" applyAlignment="1">
      <alignment horizontal="center" vertical="center"/>
    </xf>
    <xf numFmtId="0" fontId="22" fillId="3" borderId="2" xfId="0" applyFont="1" applyFill="1" applyBorder="1" applyAlignment="1">
      <alignment horizontal="center" vertical="center"/>
    </xf>
    <xf numFmtId="0" fontId="22" fillId="3" borderId="3" xfId="0" applyFont="1" applyFill="1" applyBorder="1" applyAlignment="1">
      <alignment horizontal="center" vertical="center"/>
    </xf>
    <xf numFmtId="0" fontId="13" fillId="6" borderId="13" xfId="0" applyFont="1" applyFill="1" applyBorder="1" applyAlignment="1">
      <alignment horizontal="left" vertical="center"/>
    </xf>
    <xf numFmtId="2" fontId="13" fillId="7" borderId="2" xfId="1" applyNumberFormat="1" applyFont="1" applyFill="1" applyBorder="1" applyAlignment="1">
      <alignment horizontal="center" vertical="center"/>
    </xf>
    <xf numFmtId="2" fontId="13" fillId="7" borderId="3" xfId="1" applyNumberFormat="1" applyFont="1" applyFill="1" applyBorder="1" applyAlignment="1">
      <alignment horizontal="center" vertical="center"/>
    </xf>
    <xf numFmtId="2" fontId="4" fillId="0" borderId="1" xfId="2" applyNumberFormat="1" applyFont="1" applyFill="1" applyBorder="1" applyAlignment="1">
      <alignment horizontal="center" vertical="center"/>
    </xf>
    <xf numFmtId="49" fontId="13" fillId="0" borderId="59" xfId="0" applyNumberFormat="1" applyFont="1" applyBorder="1" applyAlignment="1">
      <alignment horizontal="center" vertical="center"/>
    </xf>
    <xf numFmtId="49" fontId="13" fillId="0" borderId="60" xfId="0" applyNumberFormat="1" applyFont="1" applyBorder="1" applyAlignment="1">
      <alignment horizontal="center" vertical="center"/>
    </xf>
    <xf numFmtId="49" fontId="13" fillId="0" borderId="61" xfId="0" applyNumberFormat="1" applyFont="1" applyBorder="1" applyAlignment="1">
      <alignment horizontal="center" vertical="center"/>
    </xf>
    <xf numFmtId="0" fontId="13" fillId="3" borderId="2" xfId="0" applyFont="1" applyFill="1" applyBorder="1" applyAlignment="1">
      <alignment horizontal="center" vertical="center"/>
    </xf>
    <xf numFmtId="0" fontId="13" fillId="3" borderId="3" xfId="0" applyFont="1" applyFill="1" applyBorder="1" applyAlignment="1">
      <alignment horizontal="center" vertical="center"/>
    </xf>
    <xf numFmtId="0" fontId="15" fillId="8" borderId="20" xfId="0" applyFont="1" applyFill="1" applyBorder="1" applyAlignment="1">
      <alignment horizontal="center"/>
    </xf>
    <xf numFmtId="0" fontId="15" fillId="8" borderId="3" xfId="0" applyFont="1" applyFill="1" applyBorder="1" applyAlignment="1">
      <alignment horizontal="center"/>
    </xf>
    <xf numFmtId="49" fontId="15" fillId="0" borderId="16" xfId="0" applyNumberFormat="1" applyFont="1" applyBorder="1"/>
    <xf numFmtId="49" fontId="15" fillId="0" borderId="68" xfId="0" applyNumberFormat="1" applyFont="1" applyBorder="1"/>
    <xf numFmtId="49" fontId="15" fillId="0" borderId="69" xfId="0" applyNumberFormat="1" applyFont="1" applyBorder="1"/>
    <xf numFmtId="49" fontId="15" fillId="0" borderId="70" xfId="0" applyNumberFormat="1" applyFont="1" applyBorder="1"/>
    <xf numFmtId="49" fontId="13" fillId="11" borderId="55" xfId="0" applyNumberFormat="1" applyFont="1" applyFill="1" applyBorder="1" applyAlignment="1">
      <alignment horizontal="center" vertical="center"/>
    </xf>
    <xf numFmtId="49" fontId="13" fillId="11" borderId="93" xfId="0" applyNumberFormat="1" applyFont="1" applyFill="1" applyBorder="1" applyAlignment="1">
      <alignment horizontal="center" vertical="center"/>
    </xf>
    <xf numFmtId="49" fontId="4" fillId="0" borderId="33" xfId="0" applyNumberFormat="1" applyFont="1" applyBorder="1" applyAlignment="1">
      <alignment horizontal="center" vertical="center"/>
    </xf>
    <xf numFmtId="49" fontId="4" fillId="0" borderId="34" xfId="0" applyNumberFormat="1" applyFont="1" applyBorder="1" applyAlignment="1">
      <alignment horizontal="center" vertical="center"/>
    </xf>
    <xf numFmtId="49" fontId="4" fillId="0" borderId="35" xfId="0" applyNumberFormat="1" applyFont="1" applyBorder="1" applyAlignment="1">
      <alignment horizontal="center" vertical="center"/>
    </xf>
    <xf numFmtId="49" fontId="13" fillId="11" borderId="16" xfId="0" applyNumberFormat="1" applyFont="1" applyFill="1" applyBorder="1" applyAlignment="1">
      <alignment horizontal="center" vertical="center"/>
    </xf>
    <xf numFmtId="49" fontId="13" fillId="11" borderId="27" xfId="0" applyNumberFormat="1" applyFont="1" applyFill="1" applyBorder="1" applyAlignment="1">
      <alignment horizontal="center" vertical="center"/>
    </xf>
    <xf numFmtId="49" fontId="13" fillId="11" borderId="7" xfId="0" applyNumberFormat="1" applyFont="1" applyFill="1" applyBorder="1" applyAlignment="1">
      <alignment horizontal="center" vertical="center"/>
    </xf>
    <xf numFmtId="49" fontId="13" fillId="11" borderId="49" xfId="0" applyNumberFormat="1" applyFont="1" applyFill="1" applyBorder="1" applyAlignment="1">
      <alignment horizontal="center" vertical="center"/>
    </xf>
    <xf numFmtId="49" fontId="13" fillId="11" borderId="22" xfId="0" applyNumberFormat="1" applyFont="1" applyFill="1" applyBorder="1" applyAlignment="1">
      <alignment horizontal="center" vertical="center"/>
    </xf>
    <xf numFmtId="49" fontId="13" fillId="11" borderId="28" xfId="0" applyNumberFormat="1" applyFont="1" applyFill="1" applyBorder="1" applyAlignment="1">
      <alignment horizontal="center" vertical="center"/>
    </xf>
    <xf numFmtId="2" fontId="4" fillId="2" borderId="0" xfId="1" applyNumberFormat="1" applyFont="1" applyFill="1" applyBorder="1" applyAlignment="1">
      <alignment horizontal="center" vertical="center"/>
    </xf>
    <xf numFmtId="49" fontId="5" fillId="0" borderId="7" xfId="0" applyNumberFormat="1" applyFont="1" applyBorder="1" applyAlignment="1">
      <alignment horizontal="center" vertical="center"/>
    </xf>
    <xf numFmtId="49" fontId="5" fillId="0" borderId="49" xfId="0" applyNumberFormat="1" applyFont="1" applyBorder="1" applyAlignment="1">
      <alignment horizontal="center" vertical="center"/>
    </xf>
    <xf numFmtId="49" fontId="5" fillId="0" borderId="0" xfId="0" applyNumberFormat="1" applyFont="1" applyAlignment="1">
      <alignment horizontal="center" vertical="center"/>
    </xf>
    <xf numFmtId="2" fontId="13" fillId="4" borderId="35" xfId="0" applyNumberFormat="1" applyFont="1" applyFill="1" applyBorder="1" applyAlignment="1">
      <alignment horizontal="center" vertical="center"/>
    </xf>
    <xf numFmtId="2" fontId="13" fillId="4" borderId="21" xfId="0" applyNumberFormat="1" applyFont="1" applyFill="1" applyBorder="1" applyAlignment="1">
      <alignment horizontal="center" vertical="center"/>
    </xf>
    <xf numFmtId="2" fontId="13" fillId="4" borderId="109" xfId="0" applyNumberFormat="1" applyFont="1" applyFill="1" applyBorder="1" applyAlignment="1">
      <alignment horizontal="center" vertical="center"/>
    </xf>
    <xf numFmtId="2" fontId="13" fillId="4" borderId="93" xfId="0" applyNumberFormat="1" applyFont="1" applyFill="1" applyBorder="1" applyAlignment="1">
      <alignment horizontal="center" vertical="center"/>
    </xf>
    <xf numFmtId="2" fontId="4" fillId="2" borderId="110" xfId="1" applyNumberFormat="1" applyFont="1" applyFill="1" applyBorder="1" applyAlignment="1">
      <alignment horizontal="center" vertical="center"/>
    </xf>
    <xf numFmtId="2" fontId="4" fillId="2" borderId="112" xfId="1" applyNumberFormat="1" applyFont="1" applyFill="1" applyBorder="1" applyAlignment="1">
      <alignment horizontal="center" vertical="center"/>
    </xf>
    <xf numFmtId="49" fontId="13" fillId="0" borderId="0" xfId="0" applyNumberFormat="1" applyFont="1" applyAlignment="1">
      <alignment horizontal="center" vertical="center"/>
    </xf>
    <xf numFmtId="49" fontId="23" fillId="0" borderId="0" xfId="0" applyNumberFormat="1" applyFont="1" applyAlignment="1">
      <alignment horizontal="center" vertical="center"/>
    </xf>
    <xf numFmtId="0" fontId="6" fillId="4" borderId="1" xfId="0" applyFont="1" applyFill="1" applyBorder="1" applyAlignment="1">
      <alignment horizontal="left" vertical="center"/>
    </xf>
    <xf numFmtId="0" fontId="6" fillId="4" borderId="13" xfId="0" applyFont="1" applyFill="1" applyBorder="1" applyAlignment="1">
      <alignment horizontal="left" vertical="center"/>
    </xf>
    <xf numFmtId="0" fontId="6" fillId="6" borderId="30" xfId="0" applyFont="1" applyFill="1" applyBorder="1" applyAlignment="1">
      <alignment horizontal="left" vertical="center"/>
    </xf>
    <xf numFmtId="0" fontId="6" fillId="6" borderId="20" xfId="0" applyFont="1" applyFill="1" applyBorder="1" applyAlignment="1">
      <alignment horizontal="left" vertical="center"/>
    </xf>
    <xf numFmtId="0" fontId="6" fillId="6" borderId="3" xfId="0" applyFont="1" applyFill="1" applyBorder="1" applyAlignment="1">
      <alignment horizontal="left" vertical="center"/>
    </xf>
    <xf numFmtId="0" fontId="6" fillId="4" borderId="20" xfId="0" applyFont="1" applyFill="1" applyBorder="1" applyAlignment="1">
      <alignment horizontal="left" vertical="center"/>
    </xf>
    <xf numFmtId="0" fontId="6" fillId="4" borderId="25" xfId="0" applyFont="1" applyFill="1" applyBorder="1" applyAlignment="1">
      <alignment horizontal="left" vertical="center"/>
    </xf>
    <xf numFmtId="0" fontId="21" fillId="0" borderId="0" xfId="0" applyFont="1" applyAlignment="1">
      <alignment horizontal="center" vertical="center"/>
    </xf>
    <xf numFmtId="0" fontId="3" fillId="5" borderId="12" xfId="0" applyFont="1" applyFill="1" applyBorder="1" applyAlignment="1">
      <alignment horizontal="center" vertical="center"/>
    </xf>
    <xf numFmtId="0" fontId="3" fillId="5" borderId="1" xfId="0" applyFont="1" applyFill="1" applyBorder="1" applyAlignment="1">
      <alignment horizontal="center" vertical="center"/>
    </xf>
    <xf numFmtId="0" fontId="3" fillId="5" borderId="2" xfId="0" applyFont="1" applyFill="1" applyBorder="1" applyAlignment="1">
      <alignment horizontal="center" vertical="center"/>
    </xf>
    <xf numFmtId="0" fontId="6" fillId="6" borderId="12" xfId="0" applyFont="1" applyFill="1" applyBorder="1" applyAlignment="1">
      <alignment horizontal="left" vertical="center"/>
    </xf>
    <xf numFmtId="0" fontId="6" fillId="6" borderId="1" xfId="0" applyFont="1" applyFill="1" applyBorder="1" applyAlignment="1">
      <alignment horizontal="left" vertical="center"/>
    </xf>
    <xf numFmtId="0" fontId="6" fillId="5" borderId="36" xfId="0" applyFont="1" applyFill="1" applyBorder="1" applyAlignment="1">
      <alignment horizontal="center" vertical="center"/>
    </xf>
    <xf numFmtId="0" fontId="6" fillId="5" borderId="26" xfId="0" applyFont="1" applyFill="1" applyBorder="1" applyAlignment="1">
      <alignment horizontal="center" vertical="center"/>
    </xf>
    <xf numFmtId="0" fontId="5" fillId="0" borderId="56" xfId="0" applyFont="1" applyBorder="1" applyAlignment="1">
      <alignment horizontal="center" vertical="center"/>
    </xf>
    <xf numFmtId="0" fontId="5" fillId="0" borderId="21" xfId="0" applyFont="1" applyBorder="1" applyAlignment="1">
      <alignment horizontal="center" vertical="center"/>
    </xf>
    <xf numFmtId="0" fontId="5" fillId="0" borderId="18" xfId="0" applyFont="1" applyBorder="1" applyAlignment="1">
      <alignment horizontal="center" vertical="center"/>
    </xf>
    <xf numFmtId="49" fontId="14" fillId="0" borderId="10" xfId="5" applyNumberFormat="1" applyFont="1" applyBorder="1" applyAlignment="1">
      <alignment horizontal="center" vertical="center" wrapText="1"/>
    </xf>
    <xf numFmtId="49" fontId="14" fillId="0" borderId="11" xfId="5" applyNumberFormat="1" applyFont="1" applyBorder="1" applyAlignment="1">
      <alignment horizontal="center" vertical="center" wrapText="1"/>
    </xf>
    <xf numFmtId="0" fontId="5" fillId="0" borderId="22" xfId="0" applyFont="1" applyBorder="1" applyAlignment="1">
      <alignment horizontal="center" vertical="center"/>
    </xf>
    <xf numFmtId="0" fontId="6" fillId="4" borderId="2" xfId="0" applyFont="1" applyFill="1" applyBorder="1" applyAlignment="1">
      <alignment horizontal="left" vertical="center"/>
    </xf>
    <xf numFmtId="2" fontId="27" fillId="2" borderId="0" xfId="0" applyNumberFormat="1" applyFont="1" applyFill="1" applyAlignment="1">
      <alignment horizontal="center" vertical="center"/>
    </xf>
    <xf numFmtId="2" fontId="27" fillId="2" borderId="8" xfId="0" applyNumberFormat="1" applyFont="1" applyFill="1" applyBorder="1" applyAlignment="1">
      <alignment horizontal="center" vertical="center"/>
    </xf>
    <xf numFmtId="2" fontId="27" fillId="2" borderId="66" xfId="0" applyNumberFormat="1" applyFont="1" applyFill="1" applyBorder="1" applyAlignment="1">
      <alignment horizontal="center" vertical="center"/>
    </xf>
    <xf numFmtId="2" fontId="27" fillId="0" borderId="0" xfId="0" applyNumberFormat="1" applyFont="1" applyAlignment="1">
      <alignment horizontal="left" vertical="center"/>
    </xf>
    <xf numFmtId="2" fontId="27" fillId="0" borderId="66" xfId="0" applyNumberFormat="1" applyFont="1" applyBorder="1" applyAlignment="1">
      <alignment horizontal="left" vertical="center"/>
    </xf>
    <xf numFmtId="0" fontId="22" fillId="3" borderId="30" xfId="0" applyFont="1" applyFill="1" applyBorder="1" applyAlignment="1">
      <alignment horizontal="center" vertical="center"/>
    </xf>
    <xf numFmtId="0" fontId="22" fillId="3" borderId="20" xfId="0" applyFont="1" applyFill="1" applyBorder="1" applyAlignment="1">
      <alignment horizontal="center" vertical="center"/>
    </xf>
    <xf numFmtId="0" fontId="22" fillId="3" borderId="25" xfId="0" applyFont="1" applyFill="1" applyBorder="1" applyAlignment="1">
      <alignment horizontal="center" vertical="center"/>
    </xf>
    <xf numFmtId="2" fontId="4" fillId="2" borderId="0" xfId="0" applyNumberFormat="1" applyFont="1" applyFill="1" applyAlignment="1">
      <alignment horizontal="center" vertical="center"/>
    </xf>
    <xf numFmtId="2" fontId="4" fillId="2" borderId="8" xfId="0" applyNumberFormat="1" applyFont="1" applyFill="1" applyBorder="1" applyAlignment="1">
      <alignment horizontal="center" vertical="center"/>
    </xf>
    <xf numFmtId="0" fontId="15" fillId="0" borderId="64" xfId="0" applyFont="1" applyBorder="1" applyAlignment="1">
      <alignment horizontal="center" vertical="center"/>
    </xf>
    <xf numFmtId="0" fontId="24" fillId="0" borderId="64" xfId="0" applyFont="1" applyBorder="1" applyAlignment="1">
      <alignment horizontal="center" vertical="center"/>
    </xf>
    <xf numFmtId="0" fontId="24" fillId="0" borderId="65" xfId="0" applyFont="1" applyBorder="1" applyAlignment="1">
      <alignment horizontal="center" vertical="center"/>
    </xf>
    <xf numFmtId="0" fontId="5" fillId="0" borderId="0" xfId="0" applyFont="1" applyAlignment="1">
      <alignment horizontal="center" vertical="center" wrapText="1"/>
    </xf>
    <xf numFmtId="0" fontId="24" fillId="0" borderId="75" xfId="0" applyFont="1" applyBorder="1" applyAlignment="1">
      <alignment horizontal="center" vertical="center"/>
    </xf>
    <xf numFmtId="0" fontId="24" fillId="0" borderId="76" xfId="0" applyFont="1" applyBorder="1" applyAlignment="1">
      <alignment horizontal="center" vertical="center"/>
    </xf>
    <xf numFmtId="0" fontId="30" fillId="2" borderId="12" xfId="0" applyFont="1" applyFill="1" applyBorder="1" applyAlignment="1">
      <alignment horizontal="center" vertical="center"/>
    </xf>
    <xf numFmtId="0" fontId="30" fillId="2" borderId="1" xfId="0" applyFont="1" applyFill="1" applyBorder="1" applyAlignment="1">
      <alignment horizontal="center" vertical="center"/>
    </xf>
    <xf numFmtId="0" fontId="30" fillId="2" borderId="13" xfId="0" applyFont="1" applyFill="1" applyBorder="1" applyAlignment="1">
      <alignment horizontal="center" vertical="center"/>
    </xf>
    <xf numFmtId="0" fontId="24" fillId="2" borderId="4" xfId="0" applyFont="1" applyFill="1" applyBorder="1" applyAlignment="1">
      <alignment horizontal="center" vertical="center"/>
    </xf>
    <xf numFmtId="0" fontId="24" fillId="2" borderId="5" xfId="0" applyFont="1" applyFill="1" applyBorder="1" applyAlignment="1">
      <alignment horizontal="center" vertical="center"/>
    </xf>
    <xf numFmtId="0" fontId="24" fillId="2" borderId="6" xfId="0" applyFont="1" applyFill="1" applyBorder="1" applyAlignment="1">
      <alignment horizontal="center" vertical="center"/>
    </xf>
    <xf numFmtId="0" fontId="24" fillId="2" borderId="0" xfId="0" applyFont="1" applyFill="1" applyAlignment="1">
      <alignment horizontal="center" vertical="center"/>
    </xf>
    <xf numFmtId="0" fontId="24" fillId="2" borderId="8" xfId="0" applyFont="1" applyFill="1" applyBorder="1" applyAlignment="1">
      <alignment horizontal="center" vertical="center"/>
    </xf>
    <xf numFmtId="0" fontId="24" fillId="2" borderId="30" xfId="0" applyFont="1" applyFill="1" applyBorder="1" applyAlignment="1">
      <alignment horizontal="center" vertical="center"/>
    </xf>
    <xf numFmtId="0" fontId="24" fillId="2" borderId="20" xfId="0" applyFont="1" applyFill="1" applyBorder="1" applyAlignment="1">
      <alignment horizontal="center" vertical="center"/>
    </xf>
    <xf numFmtId="0" fontId="24" fillId="2" borderId="25" xfId="0" applyFont="1" applyFill="1" applyBorder="1" applyAlignment="1">
      <alignment horizontal="center" vertical="center"/>
    </xf>
    <xf numFmtId="49" fontId="14" fillId="0" borderId="0" xfId="5" applyNumberFormat="1" applyFont="1" applyAlignment="1">
      <alignment horizontal="center" vertical="center" wrapText="1"/>
    </xf>
    <xf numFmtId="0" fontId="6" fillId="4" borderId="30" xfId="0" applyFont="1" applyFill="1" applyBorder="1" applyAlignment="1">
      <alignment horizontal="center" vertical="center"/>
    </xf>
    <xf numFmtId="0" fontId="6" fillId="4" borderId="3" xfId="0" applyFont="1" applyFill="1" applyBorder="1" applyAlignment="1">
      <alignment horizontal="center" vertical="center"/>
    </xf>
    <xf numFmtId="0" fontId="6" fillId="6" borderId="1" xfId="0" applyFont="1" applyFill="1" applyBorder="1" applyAlignment="1">
      <alignment horizontal="center" vertical="center"/>
    </xf>
    <xf numFmtId="2" fontId="32" fillId="2" borderId="0" xfId="0" applyNumberFormat="1" applyFont="1" applyFill="1" applyAlignment="1">
      <alignment horizontal="center" vertical="center"/>
    </xf>
    <xf numFmtId="0" fontId="0" fillId="6" borderId="30" xfId="0" applyFill="1" applyBorder="1" applyAlignment="1">
      <alignment horizontal="center" vertical="center"/>
    </xf>
    <xf numFmtId="0" fontId="0" fillId="6" borderId="20" xfId="0" applyFill="1" applyBorder="1" applyAlignment="1">
      <alignment horizontal="center" vertical="center"/>
    </xf>
    <xf numFmtId="0" fontId="0" fillId="6" borderId="3" xfId="0" applyFill="1" applyBorder="1" applyAlignment="1">
      <alignment horizontal="center" vertical="center"/>
    </xf>
    <xf numFmtId="0" fontId="2" fillId="2" borderId="30" xfId="0" applyFont="1" applyFill="1" applyBorder="1" applyAlignment="1">
      <alignment horizontal="right"/>
    </xf>
    <xf numFmtId="0" fontId="2" fillId="2" borderId="3" xfId="0" applyFont="1" applyFill="1" applyBorder="1" applyAlignment="1">
      <alignment horizontal="right"/>
    </xf>
    <xf numFmtId="0" fontId="2" fillId="2" borderId="20" xfId="0" applyFont="1" applyFill="1" applyBorder="1" applyAlignment="1">
      <alignment horizontal="right"/>
    </xf>
    <xf numFmtId="0" fontId="2" fillId="2" borderId="39" xfId="0" applyFont="1" applyFill="1" applyBorder="1" applyAlignment="1">
      <alignment horizontal="right"/>
    </xf>
    <xf numFmtId="0" fontId="2" fillId="2" borderId="41" xfId="0" applyFont="1" applyFill="1" applyBorder="1" applyAlignment="1">
      <alignment horizontal="right"/>
    </xf>
    <xf numFmtId="0" fontId="2" fillId="2" borderId="38" xfId="0" applyFont="1" applyFill="1" applyBorder="1" applyAlignment="1">
      <alignment horizontal="right"/>
    </xf>
  </cellXfs>
  <cellStyles count="16">
    <cellStyle name="Moeda" xfId="1" builtinId="4"/>
    <cellStyle name="Moeda 2" xfId="3" xr:uid="{00000000-0005-0000-0000-000001000000}"/>
    <cellStyle name="Moeda 2 2" xfId="10" xr:uid="{00000000-0005-0000-0000-000002000000}"/>
    <cellStyle name="Moeda 3" xfId="6" xr:uid="{00000000-0005-0000-0000-000003000000}"/>
    <cellStyle name="Moeda 4" xfId="8" xr:uid="{00000000-0005-0000-0000-000004000000}"/>
    <cellStyle name="Normal" xfId="0" builtinId="0"/>
    <cellStyle name="Normal 2" xfId="5" xr:uid="{00000000-0005-0000-0000-000006000000}"/>
    <cellStyle name="Normal 2 21" xfId="14" xr:uid="{00000000-0005-0000-0000-000007000000}"/>
    <cellStyle name="Porcentagem" xfId="13" builtinId="5"/>
    <cellStyle name="Vírgula" xfId="2" builtinId="3"/>
    <cellStyle name="Vírgula 2" xfId="4" xr:uid="{00000000-0005-0000-0000-00000A000000}"/>
    <cellStyle name="Vírgula 2 2" xfId="11" xr:uid="{00000000-0005-0000-0000-00000B000000}"/>
    <cellStyle name="Vírgula 3" xfId="7" xr:uid="{00000000-0005-0000-0000-00000C000000}"/>
    <cellStyle name="Vírgula 3 2" xfId="12" xr:uid="{00000000-0005-0000-0000-00000D000000}"/>
    <cellStyle name="Vírgula 4" xfId="9" xr:uid="{00000000-0005-0000-0000-00000E000000}"/>
    <cellStyle name="Vírgula 5" xfId="15" xr:uid="{00000000-0005-0000-0000-00000F000000}"/>
  </cellStyles>
  <dxfs count="295">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114300</xdr:colOff>
      <xdr:row>0</xdr:row>
      <xdr:rowOff>114300</xdr:rowOff>
    </xdr:from>
    <xdr:ext cx="3686175" cy="1200150"/>
    <xdr:pic>
      <xdr:nvPicPr>
        <xdr:cNvPr id="5" name="Imagem 3">
          <a:extLst>
            <a:ext uri="{FF2B5EF4-FFF2-40B4-BE49-F238E27FC236}">
              <a16:creationId xmlns:a16="http://schemas.microsoft.com/office/drawing/2014/main" id="{041EEDF2-5CE6-46AD-A8D0-8D260E6A1A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900" y="295275"/>
          <a:ext cx="3686175" cy="120015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2</xdr:col>
      <xdr:colOff>301384</xdr:colOff>
      <xdr:row>0</xdr:row>
      <xdr:rowOff>73068</xdr:rowOff>
    </xdr:from>
    <xdr:ext cx="3844076" cy="1203882"/>
    <xdr:pic>
      <xdr:nvPicPr>
        <xdr:cNvPr id="5" name="Imagem 2">
          <a:extLst>
            <a:ext uri="{FF2B5EF4-FFF2-40B4-BE49-F238E27FC236}">
              <a16:creationId xmlns:a16="http://schemas.microsoft.com/office/drawing/2014/main" id="{58E814EE-6EEA-461B-BCFA-607609FE521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86973" y="73068"/>
          <a:ext cx="3844076" cy="1203882"/>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2</xdr:col>
      <xdr:colOff>381349</xdr:colOff>
      <xdr:row>0</xdr:row>
      <xdr:rowOff>82188</xdr:rowOff>
    </xdr:from>
    <xdr:ext cx="2130624" cy="497422"/>
    <xdr:pic>
      <xdr:nvPicPr>
        <xdr:cNvPr id="24" name="Imagem 2">
          <a:extLst>
            <a:ext uri="{FF2B5EF4-FFF2-40B4-BE49-F238E27FC236}">
              <a16:creationId xmlns:a16="http://schemas.microsoft.com/office/drawing/2014/main" id="{142CC5BB-0D08-49DA-BB15-A9625823E3B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48149" y="82188"/>
          <a:ext cx="2130624" cy="497422"/>
        </a:xfrm>
        <a:prstGeom prst="rect">
          <a:avLst/>
        </a:prstGeom>
      </xdr:spPr>
    </xdr:pic>
    <xdr:clientData/>
  </xdr:oneCellAnchor>
</xdr:wsDr>
</file>

<file path=xl/persons/person.xml><?xml version="1.0" encoding="utf-8"?>
<personList xmlns="http://schemas.microsoft.com/office/spreadsheetml/2018/threadedcomments" xmlns:x="http://schemas.openxmlformats.org/spreadsheetml/2006/main">
  <person displayName="Secretaria Municipal de Educação Catalão" id="{FA454E89-3C2F-490D-A690-C238DA6975AD}" userId="83a55fdcc7447c90" providerId="Windows Live"/>
</personList>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1141" dT="2022-09-26T15:06:30.12" personId="{FA454E89-3C2F-490D-A690-C238DA6975AD}" id="{7F4CFF1E-92FB-47FB-8DF3-2A714DFEDBED}">
    <text>mudar para comprimento e largura</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O1716"/>
  <sheetViews>
    <sheetView showGridLines="0" view="pageBreakPreview" topLeftCell="A7" zoomScale="70" zoomScaleNormal="70" zoomScaleSheetLayoutView="70" zoomScalePageLayoutView="10" workbookViewId="0">
      <selection activeCell="K16" sqref="K16"/>
    </sheetView>
  </sheetViews>
  <sheetFormatPr defaultColWidth="9.140625" defaultRowHeight="14.25" x14ac:dyDescent="0.25"/>
  <cols>
    <col min="1" max="1" width="9.140625" style="9" customWidth="1"/>
    <col min="2" max="2" width="6.42578125" style="4" bestFit="1" customWidth="1"/>
    <col min="3" max="3" width="22.42578125" style="4" bestFit="1" customWidth="1"/>
    <col min="4" max="4" width="126.85546875" style="6" bestFit="1" customWidth="1"/>
    <col min="5" max="5" width="7.140625" style="3" bestFit="1" customWidth="1"/>
    <col min="6" max="6" width="23.42578125" style="8" bestFit="1" customWidth="1"/>
    <col min="7" max="7" width="22.7109375" style="8" bestFit="1" customWidth="1"/>
    <col min="8" max="8" width="16.42578125" style="93" bestFit="1" customWidth="1"/>
    <col min="9" max="9" width="25.140625" style="9" bestFit="1" customWidth="1"/>
    <col min="10" max="10" width="2.28515625" style="9" bestFit="1" customWidth="1"/>
    <col min="11" max="16384" width="9.140625" style="9"/>
  </cols>
  <sheetData>
    <row r="1" spans="1:10" ht="15.75" x14ac:dyDescent="0.25">
      <c r="A1" s="470"/>
      <c r="B1" s="777" t="s">
        <v>0</v>
      </c>
      <c r="C1" s="778"/>
      <c r="D1" s="778"/>
      <c r="E1" s="778"/>
      <c r="F1" s="778"/>
      <c r="G1" s="778"/>
      <c r="H1" s="779"/>
    </row>
    <row r="2" spans="1:10" ht="15.75" x14ac:dyDescent="0.25">
      <c r="B2" s="780" t="s">
        <v>1</v>
      </c>
      <c r="C2" s="781"/>
      <c r="D2" s="781"/>
      <c r="E2" s="781"/>
      <c r="F2" s="781"/>
      <c r="G2" s="781"/>
      <c r="H2" s="782"/>
    </row>
    <row r="3" spans="1:10" ht="15.75" x14ac:dyDescent="0.25">
      <c r="B3" s="463"/>
      <c r="C3" s="464"/>
      <c r="D3" s="781" t="s">
        <v>2</v>
      </c>
      <c r="E3" s="781"/>
      <c r="F3" s="781"/>
      <c r="G3" s="781"/>
      <c r="H3" s="465"/>
    </row>
    <row r="4" spans="1:10" ht="15.75" x14ac:dyDescent="0.25">
      <c r="B4" s="780" t="s">
        <v>1171</v>
      </c>
      <c r="C4" s="781"/>
      <c r="D4" s="781"/>
      <c r="E4" s="781"/>
      <c r="F4" s="781"/>
      <c r="G4" s="781"/>
      <c r="H4" s="782"/>
      <c r="I4" s="135" t="s">
        <v>3</v>
      </c>
      <c r="J4" s="128"/>
    </row>
    <row r="5" spans="1:10" ht="15.75" x14ac:dyDescent="0.25">
      <c r="B5" s="780" t="s">
        <v>4</v>
      </c>
      <c r="C5" s="781"/>
      <c r="D5" s="781"/>
      <c r="E5" s="781"/>
      <c r="F5" s="781"/>
      <c r="G5" s="781"/>
      <c r="H5" s="782"/>
      <c r="I5" s="727"/>
      <c r="J5" s="727"/>
    </row>
    <row r="6" spans="1:10" ht="15.75" x14ac:dyDescent="0.25">
      <c r="B6" s="780" t="s">
        <v>1172</v>
      </c>
      <c r="C6" s="801"/>
      <c r="D6" s="801"/>
      <c r="E6" s="801"/>
      <c r="F6" s="801"/>
      <c r="G6" s="801"/>
      <c r="H6" s="802"/>
      <c r="I6" s="128"/>
      <c r="J6" s="128"/>
    </row>
    <row r="7" spans="1:10" ht="15.75" x14ac:dyDescent="0.25">
      <c r="B7" s="800" t="s">
        <v>5</v>
      </c>
      <c r="C7" s="801"/>
      <c r="D7" s="801"/>
      <c r="E7" s="801"/>
      <c r="F7" s="801"/>
      <c r="G7" s="801"/>
      <c r="H7" s="802"/>
      <c r="I7" s="128"/>
    </row>
    <row r="8" spans="1:10" ht="16.5" thickBot="1" x14ac:dyDescent="0.3">
      <c r="B8" s="466"/>
      <c r="C8" s="467"/>
      <c r="D8" s="803" t="s">
        <v>6</v>
      </c>
      <c r="E8" s="803"/>
      <c r="F8" s="803"/>
      <c r="G8" s="467"/>
      <c r="H8" s="468"/>
      <c r="I8" s="128"/>
      <c r="J8" s="128"/>
    </row>
    <row r="9" spans="1:10" ht="18.75" thickBot="1" x14ac:dyDescent="0.3">
      <c r="B9" s="788" t="s">
        <v>7</v>
      </c>
      <c r="C9" s="789"/>
      <c r="D9" s="789"/>
      <c r="E9" s="789"/>
      <c r="F9" s="789"/>
      <c r="G9" s="789"/>
      <c r="H9" s="790"/>
    </row>
    <row r="10" spans="1:10" s="42" customFormat="1" ht="15.75" x14ac:dyDescent="0.25">
      <c r="B10" s="273" t="s">
        <v>8</v>
      </c>
      <c r="C10" s="274" t="s">
        <v>9</v>
      </c>
      <c r="D10" s="275"/>
      <c r="E10" s="276" t="s">
        <v>10</v>
      </c>
      <c r="F10" s="791" t="s">
        <v>7</v>
      </c>
      <c r="G10" s="792"/>
      <c r="H10" s="793"/>
    </row>
    <row r="11" spans="1:10" s="42" customFormat="1" ht="15.75" x14ac:dyDescent="0.25">
      <c r="B11" s="680" t="s">
        <v>11</v>
      </c>
      <c r="C11" s="681"/>
      <c r="D11" s="783"/>
      <c r="E11" s="783"/>
      <c r="F11" s="783"/>
      <c r="G11" s="783"/>
      <c r="H11" s="784"/>
    </row>
    <row r="12" spans="1:10" s="42" customFormat="1" ht="15.75" x14ac:dyDescent="0.25">
      <c r="B12" s="590">
        <v>1</v>
      </c>
      <c r="C12" s="430" t="s">
        <v>12</v>
      </c>
      <c r="D12" s="785" t="s">
        <v>13</v>
      </c>
      <c r="E12" s="786"/>
      <c r="F12" s="786"/>
      <c r="G12" s="787"/>
      <c r="H12" s="188" t="s">
        <v>14</v>
      </c>
    </row>
    <row r="13" spans="1:10" s="42" customFormat="1" ht="15.75" x14ac:dyDescent="0.25">
      <c r="B13" s="591" t="s">
        <v>15</v>
      </c>
      <c r="C13" s="589" t="s">
        <v>1169</v>
      </c>
      <c r="D13" s="50" t="s">
        <v>16</v>
      </c>
      <c r="E13" s="49" t="s">
        <v>17</v>
      </c>
      <c r="F13" s="169" t="s">
        <v>18</v>
      </c>
      <c r="G13" s="169" t="s">
        <v>19</v>
      </c>
      <c r="H13" s="189">
        <f>SUM(H14:H18)</f>
        <v>134.435</v>
      </c>
    </row>
    <row r="14" spans="1:10" s="42" customFormat="1" ht="15" x14ac:dyDescent="0.25">
      <c r="B14" s="794"/>
      <c r="C14" s="795"/>
      <c r="D14" s="143" t="s">
        <v>20</v>
      </c>
      <c r="E14" s="43" t="s">
        <v>17</v>
      </c>
      <c r="F14" s="170">
        <v>6.3</v>
      </c>
      <c r="G14" s="170">
        <v>4.7</v>
      </c>
      <c r="H14" s="190">
        <f>G14*F14</f>
        <v>29.61</v>
      </c>
    </row>
    <row r="15" spans="1:10" s="42" customFormat="1" ht="15" x14ac:dyDescent="0.25">
      <c r="B15" s="796"/>
      <c r="C15" s="797"/>
      <c r="D15" s="143" t="s">
        <v>21</v>
      </c>
      <c r="E15" s="43" t="s">
        <v>17</v>
      </c>
      <c r="F15" s="170">
        <v>4.75</v>
      </c>
      <c r="G15" s="170">
        <v>4.7</v>
      </c>
      <c r="H15" s="190">
        <f>G15*F15</f>
        <v>22.324999999999999</v>
      </c>
    </row>
    <row r="16" spans="1:10" s="42" customFormat="1" ht="15" x14ac:dyDescent="0.25">
      <c r="B16" s="796"/>
      <c r="C16" s="797"/>
      <c r="D16" s="143" t="s">
        <v>22</v>
      </c>
      <c r="E16" s="43" t="s">
        <v>17</v>
      </c>
      <c r="F16" s="170">
        <v>6.5</v>
      </c>
      <c r="G16" s="170">
        <v>4.9000000000000004</v>
      </c>
      <c r="H16" s="190">
        <f>G16*F16</f>
        <v>31.85</v>
      </c>
    </row>
    <row r="17" spans="2:8" s="42" customFormat="1" ht="15" x14ac:dyDescent="0.25">
      <c r="B17" s="796"/>
      <c r="C17" s="797"/>
      <c r="D17" s="143" t="s">
        <v>23</v>
      </c>
      <c r="E17" s="43" t="s">
        <v>17</v>
      </c>
      <c r="F17" s="170">
        <v>26</v>
      </c>
      <c r="G17" s="170">
        <v>1.8</v>
      </c>
      <c r="H17" s="190">
        <f>G17*F17</f>
        <v>46.800000000000004</v>
      </c>
    </row>
    <row r="18" spans="2:8" s="42" customFormat="1" ht="15" x14ac:dyDescent="0.25">
      <c r="B18" s="798"/>
      <c r="C18" s="799"/>
      <c r="D18" s="143" t="s">
        <v>24</v>
      </c>
      <c r="E18" s="43" t="s">
        <v>17</v>
      </c>
      <c r="F18" s="170">
        <v>2.2000000000000002</v>
      </c>
      <c r="G18" s="170">
        <v>1.75</v>
      </c>
      <c r="H18" s="190">
        <f>G18*F18</f>
        <v>3.8500000000000005</v>
      </c>
    </row>
    <row r="19" spans="2:8" s="42" customFormat="1" ht="15.75" x14ac:dyDescent="0.25">
      <c r="B19" s="592" t="s">
        <v>25</v>
      </c>
      <c r="C19" s="593">
        <v>20103</v>
      </c>
      <c r="D19" s="51" t="s">
        <v>26</v>
      </c>
      <c r="E19" s="164" t="s">
        <v>17</v>
      </c>
      <c r="F19" s="169" t="s">
        <v>27</v>
      </c>
      <c r="G19" s="169" t="s">
        <v>19</v>
      </c>
      <c r="H19" s="189">
        <f>SUM(H20:H25)</f>
        <v>183.26000000000002</v>
      </c>
    </row>
    <row r="20" spans="2:8" s="42" customFormat="1" ht="15" x14ac:dyDescent="0.25">
      <c r="B20" s="658"/>
      <c r="C20" s="693"/>
      <c r="D20" s="143" t="s">
        <v>28</v>
      </c>
      <c r="E20" s="43" t="s">
        <v>17</v>
      </c>
      <c r="F20" s="170">
        <v>6.3</v>
      </c>
      <c r="G20" s="170">
        <v>4.7</v>
      </c>
      <c r="H20" s="190">
        <f>G20*F20</f>
        <v>29.61</v>
      </c>
    </row>
    <row r="21" spans="2:8" s="42" customFormat="1" ht="15" x14ac:dyDescent="0.25">
      <c r="B21" s="694"/>
      <c r="C21" s="695"/>
      <c r="D21" s="143" t="s">
        <v>21</v>
      </c>
      <c r="E21" s="43" t="s">
        <v>17</v>
      </c>
      <c r="F21" s="170">
        <v>4.75</v>
      </c>
      <c r="G21" s="170">
        <v>4.7</v>
      </c>
      <c r="H21" s="190">
        <f>G21*F21</f>
        <v>22.324999999999999</v>
      </c>
    </row>
    <row r="22" spans="2:8" s="42" customFormat="1" ht="15" x14ac:dyDescent="0.25">
      <c r="B22" s="694"/>
      <c r="C22" s="695"/>
      <c r="D22" s="143" t="s">
        <v>22</v>
      </c>
      <c r="E22" s="43" t="s">
        <v>17</v>
      </c>
      <c r="F22" s="170">
        <v>6.5</v>
      </c>
      <c r="G22" s="170">
        <v>4.9000000000000004</v>
      </c>
      <c r="H22" s="190">
        <f>G22*F22</f>
        <v>31.85</v>
      </c>
    </row>
    <row r="23" spans="2:8" s="42" customFormat="1" ht="15" x14ac:dyDescent="0.25">
      <c r="B23" s="694"/>
      <c r="C23" s="695"/>
      <c r="D23" s="143" t="s">
        <v>23</v>
      </c>
      <c r="E23" s="43" t="s">
        <v>17</v>
      </c>
      <c r="F23" s="170">
        <v>26</v>
      </c>
      <c r="G23" s="170">
        <v>1.8</v>
      </c>
      <c r="H23" s="190">
        <f>G23*F23</f>
        <v>46.800000000000004</v>
      </c>
    </row>
    <row r="24" spans="2:8" s="42" customFormat="1" ht="15" x14ac:dyDescent="0.25">
      <c r="B24" s="694"/>
      <c r="C24" s="695"/>
      <c r="D24" s="204" t="s">
        <v>29</v>
      </c>
      <c r="E24" s="43" t="s">
        <v>17</v>
      </c>
      <c r="F24" s="170">
        <v>7.25</v>
      </c>
      <c r="G24" s="170">
        <v>4.9000000000000004</v>
      </c>
      <c r="H24" s="193">
        <f>F24*G24</f>
        <v>35.525000000000006</v>
      </c>
    </row>
    <row r="25" spans="2:8" s="42" customFormat="1" ht="15" x14ac:dyDescent="0.25">
      <c r="B25" s="660"/>
      <c r="C25" s="696"/>
      <c r="D25" s="40" t="s">
        <v>30</v>
      </c>
      <c r="E25" s="140" t="s">
        <v>17</v>
      </c>
      <c r="F25" s="167">
        <v>3.5</v>
      </c>
      <c r="G25" s="167">
        <v>4.9000000000000004</v>
      </c>
      <c r="H25" s="193">
        <f>F25*G25</f>
        <v>17.150000000000002</v>
      </c>
    </row>
    <row r="26" spans="2:8" s="42" customFormat="1" ht="15.75" x14ac:dyDescent="0.25">
      <c r="B26" s="592" t="s">
        <v>31</v>
      </c>
      <c r="C26" s="595">
        <v>20109</v>
      </c>
      <c r="D26" s="51" t="s">
        <v>32</v>
      </c>
      <c r="E26" s="49" t="s">
        <v>17</v>
      </c>
      <c r="F26" s="169" t="s">
        <v>27</v>
      </c>
      <c r="G26" s="169" t="s">
        <v>19</v>
      </c>
      <c r="H26" s="189">
        <f>SUM(H27:H30)</f>
        <v>134.185</v>
      </c>
    </row>
    <row r="27" spans="2:8" s="42" customFormat="1" ht="15" x14ac:dyDescent="0.25">
      <c r="B27" s="668"/>
      <c r="C27" s="669"/>
      <c r="D27" s="143" t="s">
        <v>28</v>
      </c>
      <c r="E27" s="140" t="s">
        <v>17</v>
      </c>
      <c r="F27" s="167">
        <v>6.3</v>
      </c>
      <c r="G27" s="167">
        <v>4.7</v>
      </c>
      <c r="H27" s="191">
        <f>G27*F27</f>
        <v>29.61</v>
      </c>
    </row>
    <row r="28" spans="2:8" s="42" customFormat="1" ht="15" x14ac:dyDescent="0.25">
      <c r="B28" s="668"/>
      <c r="C28" s="669"/>
      <c r="D28" s="143" t="s">
        <v>21</v>
      </c>
      <c r="E28" s="140" t="s">
        <v>17</v>
      </c>
      <c r="F28" s="167">
        <v>4.75</v>
      </c>
      <c r="G28" s="167">
        <v>4.7</v>
      </c>
      <c r="H28" s="191">
        <f>G28*F28</f>
        <v>22.324999999999999</v>
      </c>
    </row>
    <row r="29" spans="2:8" s="42" customFormat="1" ht="15" x14ac:dyDescent="0.25">
      <c r="B29" s="668"/>
      <c r="C29" s="669"/>
      <c r="D29" s="143" t="s">
        <v>22</v>
      </c>
      <c r="E29" s="140" t="s">
        <v>17</v>
      </c>
      <c r="F29" s="167">
        <v>6.5</v>
      </c>
      <c r="G29" s="167">
        <v>4.9000000000000004</v>
      </c>
      <c r="H29" s="191">
        <f>G29*F29</f>
        <v>31.85</v>
      </c>
    </row>
    <row r="30" spans="2:8" s="42" customFormat="1" ht="15" x14ac:dyDescent="0.25">
      <c r="B30" s="668"/>
      <c r="C30" s="669"/>
      <c r="D30" s="143" t="s">
        <v>23</v>
      </c>
      <c r="E30" s="140" t="s">
        <v>17</v>
      </c>
      <c r="F30" s="167">
        <v>28</v>
      </c>
      <c r="G30" s="167">
        <v>1.8</v>
      </c>
      <c r="H30" s="191">
        <f>G30*F30</f>
        <v>50.4</v>
      </c>
    </row>
    <row r="31" spans="2:8" s="42" customFormat="1" ht="15.75" x14ac:dyDescent="0.25">
      <c r="B31" s="598" t="s">
        <v>33</v>
      </c>
      <c r="C31" s="442">
        <v>20115</v>
      </c>
      <c r="D31" s="51" t="s">
        <v>34</v>
      </c>
      <c r="E31" s="49" t="s">
        <v>17</v>
      </c>
      <c r="F31" s="169" t="s">
        <v>27</v>
      </c>
      <c r="G31" s="169" t="s">
        <v>35</v>
      </c>
      <c r="H31" s="192">
        <f>SUM(H32:H33)</f>
        <v>17.899999999999999</v>
      </c>
    </row>
    <row r="32" spans="2:8" s="42" customFormat="1" ht="15" x14ac:dyDescent="0.25">
      <c r="B32" s="668"/>
      <c r="C32" s="669"/>
      <c r="D32" s="40" t="s">
        <v>36</v>
      </c>
      <c r="E32" s="140" t="s">
        <v>17</v>
      </c>
      <c r="F32" s="167">
        <f>6+4.9</f>
        <v>10.9</v>
      </c>
      <c r="G32" s="167">
        <v>1</v>
      </c>
      <c r="H32" s="191">
        <f>G32*F32</f>
        <v>10.9</v>
      </c>
    </row>
    <row r="33" spans="2:8" s="42" customFormat="1" ht="15" x14ac:dyDescent="0.25">
      <c r="B33" s="668"/>
      <c r="C33" s="669"/>
      <c r="D33" s="40" t="s">
        <v>37</v>
      </c>
      <c r="E33" s="140" t="s">
        <v>17</v>
      </c>
      <c r="F33" s="43">
        <v>3.5</v>
      </c>
      <c r="G33" s="43">
        <v>2</v>
      </c>
      <c r="H33" s="193">
        <f>F33*G33</f>
        <v>7</v>
      </c>
    </row>
    <row r="34" spans="2:8" s="42" customFormat="1" ht="15.75" x14ac:dyDescent="0.25">
      <c r="B34" s="598" t="s">
        <v>38</v>
      </c>
      <c r="C34" s="442">
        <v>20117</v>
      </c>
      <c r="D34" s="51" t="s">
        <v>39</v>
      </c>
      <c r="E34" s="49" t="s">
        <v>17</v>
      </c>
      <c r="F34" s="169" t="s">
        <v>27</v>
      </c>
      <c r="G34" s="169" t="s">
        <v>40</v>
      </c>
      <c r="H34" s="192">
        <f>SUM(H35:H40)</f>
        <v>269.83999999999997</v>
      </c>
    </row>
    <row r="35" spans="2:8" s="42" customFormat="1" ht="15" x14ac:dyDescent="0.25">
      <c r="B35" s="599"/>
      <c r="C35" s="600"/>
      <c r="D35" s="40" t="s">
        <v>41</v>
      </c>
      <c r="E35" s="140" t="s">
        <v>17</v>
      </c>
      <c r="F35" s="165">
        <f>6.5+4.9</f>
        <v>11.4</v>
      </c>
      <c r="G35" s="167">
        <v>4</v>
      </c>
      <c r="H35" s="191">
        <f t="shared" ref="H35:H40" si="0">G35*F35</f>
        <v>45.6</v>
      </c>
    </row>
    <row r="36" spans="2:8" s="42" customFormat="1" ht="15" x14ac:dyDescent="0.25">
      <c r="B36" s="599"/>
      <c r="C36" s="600"/>
      <c r="D36" s="40" t="s">
        <v>42</v>
      </c>
      <c r="E36" s="140" t="s">
        <v>17</v>
      </c>
      <c r="F36" s="165">
        <f>7.25+7.25+4.9+4.9</f>
        <v>24.299999999999997</v>
      </c>
      <c r="G36" s="165">
        <v>4</v>
      </c>
      <c r="H36" s="191">
        <f t="shared" si="0"/>
        <v>97.199999999999989</v>
      </c>
    </row>
    <row r="37" spans="2:8" s="42" customFormat="1" ht="15" x14ac:dyDescent="0.25">
      <c r="B37" s="599"/>
      <c r="C37" s="600"/>
      <c r="D37" s="40" t="s">
        <v>43</v>
      </c>
      <c r="E37" s="140" t="s">
        <v>17</v>
      </c>
      <c r="F37" s="165">
        <f>7.5+4.9</f>
        <v>12.4</v>
      </c>
      <c r="G37" s="167">
        <v>4</v>
      </c>
      <c r="H37" s="191">
        <f t="shared" si="0"/>
        <v>49.6</v>
      </c>
    </row>
    <row r="38" spans="2:8" s="42" customFormat="1" ht="15" x14ac:dyDescent="0.25">
      <c r="B38" s="599"/>
      <c r="C38" s="600"/>
      <c r="D38" s="40" t="s">
        <v>30</v>
      </c>
      <c r="E38" s="140" t="s">
        <v>17</v>
      </c>
      <c r="F38" s="165">
        <f>4.9+3.5</f>
        <v>8.4</v>
      </c>
      <c r="G38" s="167">
        <v>4</v>
      </c>
      <c r="H38" s="191">
        <f t="shared" si="0"/>
        <v>33.6</v>
      </c>
    </row>
    <row r="39" spans="2:8" s="42" customFormat="1" ht="15" x14ac:dyDescent="0.25">
      <c r="B39" s="599"/>
      <c r="C39" s="600"/>
      <c r="D39" s="40" t="s">
        <v>44</v>
      </c>
      <c r="E39" s="140" t="s">
        <v>17</v>
      </c>
      <c r="F39" s="16">
        <f>7.25+7.25</f>
        <v>14.5</v>
      </c>
      <c r="G39" s="165">
        <v>4</v>
      </c>
      <c r="H39" s="191">
        <f t="shared" si="0"/>
        <v>58</v>
      </c>
    </row>
    <row r="40" spans="2:8" s="42" customFormat="1" ht="15" x14ac:dyDescent="0.25">
      <c r="B40" s="599"/>
      <c r="C40" s="600"/>
      <c r="D40" s="40" t="s">
        <v>45</v>
      </c>
      <c r="E40" s="140" t="s">
        <v>17</v>
      </c>
      <c r="F40" s="165">
        <f>- ((3*1.8*1.2)+(4*0.6*1.8)+(2*0.8*2.1))</f>
        <v>-14.16</v>
      </c>
      <c r="G40" s="167">
        <v>1</v>
      </c>
      <c r="H40" s="191">
        <f t="shared" si="0"/>
        <v>-14.16</v>
      </c>
    </row>
    <row r="41" spans="2:8" s="42" customFormat="1" ht="15.75" x14ac:dyDescent="0.25">
      <c r="B41" s="598" t="s">
        <v>46</v>
      </c>
      <c r="C41" s="442">
        <v>20118</v>
      </c>
      <c r="D41" s="51" t="s">
        <v>47</v>
      </c>
      <c r="E41" s="49" t="s">
        <v>48</v>
      </c>
      <c r="F41" s="169" t="s">
        <v>49</v>
      </c>
      <c r="G41" s="169" t="s">
        <v>40</v>
      </c>
      <c r="H41" s="192">
        <f>SUM(H42:H47)</f>
        <v>248.44000000000003</v>
      </c>
    </row>
    <row r="42" spans="2:8" s="42" customFormat="1" ht="15" x14ac:dyDescent="0.25">
      <c r="B42" s="652"/>
      <c r="C42" s="673"/>
      <c r="D42" s="40" t="s">
        <v>50</v>
      </c>
      <c r="E42" s="140" t="s">
        <v>48</v>
      </c>
      <c r="F42" s="167">
        <f>(6.3*2)+(4.7*2)</f>
        <v>22</v>
      </c>
      <c r="G42" s="167">
        <v>3</v>
      </c>
      <c r="H42" s="191">
        <f t="shared" ref="H42:H47" si="1">G42*F42</f>
        <v>66</v>
      </c>
    </row>
    <row r="43" spans="2:8" s="42" customFormat="1" ht="15" x14ac:dyDescent="0.25">
      <c r="B43" s="654"/>
      <c r="C43" s="675"/>
      <c r="D43" s="40" t="s">
        <v>51</v>
      </c>
      <c r="E43" s="140" t="s">
        <v>48</v>
      </c>
      <c r="F43" s="167">
        <f>(4.75*2)+(4.7)</f>
        <v>14.2</v>
      </c>
      <c r="G43" s="167">
        <v>3</v>
      </c>
      <c r="H43" s="191">
        <f t="shared" si="1"/>
        <v>42.599999999999994</v>
      </c>
    </row>
    <row r="44" spans="2:8" s="42" customFormat="1" ht="15" x14ac:dyDescent="0.25">
      <c r="B44" s="654"/>
      <c r="C44" s="675"/>
      <c r="D44" s="40" t="s">
        <v>52</v>
      </c>
      <c r="E44" s="140" t="s">
        <v>48</v>
      </c>
      <c r="F44" s="167">
        <f>(2*2)+(1.25*2)</f>
        <v>6.5</v>
      </c>
      <c r="G44" s="167">
        <v>3</v>
      </c>
      <c r="H44" s="191">
        <f t="shared" si="1"/>
        <v>19.5</v>
      </c>
    </row>
    <row r="45" spans="2:8" s="42" customFormat="1" ht="15" x14ac:dyDescent="0.25">
      <c r="B45" s="654"/>
      <c r="C45" s="675"/>
      <c r="D45" s="40" t="s">
        <v>53</v>
      </c>
      <c r="E45" s="140" t="s">
        <v>48</v>
      </c>
      <c r="F45" s="167">
        <f>4.9+6.5</f>
        <v>11.4</v>
      </c>
      <c r="G45" s="167">
        <v>3</v>
      </c>
      <c r="H45" s="191">
        <f t="shared" si="1"/>
        <v>34.200000000000003</v>
      </c>
    </row>
    <row r="46" spans="2:8" s="42" customFormat="1" ht="15" x14ac:dyDescent="0.25">
      <c r="B46" s="654"/>
      <c r="C46" s="675"/>
      <c r="D46" s="40" t="s">
        <v>54</v>
      </c>
      <c r="E46" s="140" t="s">
        <v>48</v>
      </c>
      <c r="F46" s="167">
        <v>34</v>
      </c>
      <c r="G46" s="167">
        <v>1.7</v>
      </c>
      <c r="H46" s="191">
        <f t="shared" si="1"/>
        <v>57.8</v>
      </c>
    </row>
    <row r="47" spans="2:8" s="42" customFormat="1" ht="15" x14ac:dyDescent="0.25">
      <c r="B47" s="656"/>
      <c r="C47" s="674"/>
      <c r="D47" s="40" t="s">
        <v>55</v>
      </c>
      <c r="E47" s="140" t="s">
        <v>17</v>
      </c>
      <c r="F47" s="165">
        <f>26+ (1.8*1.3)</f>
        <v>28.34</v>
      </c>
      <c r="G47" s="165">
        <v>1</v>
      </c>
      <c r="H47" s="191">
        <f t="shared" si="1"/>
        <v>28.34</v>
      </c>
    </row>
    <row r="48" spans="2:8" s="42" customFormat="1" ht="15.75" x14ac:dyDescent="0.25">
      <c r="B48" s="598" t="s">
        <v>56</v>
      </c>
      <c r="C48" s="442">
        <v>20121</v>
      </c>
      <c r="D48" s="51" t="s">
        <v>57</v>
      </c>
      <c r="E48" s="49" t="s">
        <v>48</v>
      </c>
      <c r="F48" s="169" t="s">
        <v>49</v>
      </c>
      <c r="G48" s="169" t="s">
        <v>58</v>
      </c>
      <c r="H48" s="192">
        <f>SUM(H49:H50)</f>
        <v>11.7</v>
      </c>
    </row>
    <row r="49" spans="2:8" s="42" customFormat="1" ht="15" x14ac:dyDescent="0.25">
      <c r="B49" s="652"/>
      <c r="C49" s="673"/>
      <c r="D49" s="40" t="s">
        <v>59</v>
      </c>
      <c r="E49" s="140" t="s">
        <v>48</v>
      </c>
      <c r="F49" s="165">
        <f>15*0.8</f>
        <v>12</v>
      </c>
      <c r="G49" s="165">
        <v>0.15</v>
      </c>
      <c r="H49" s="191">
        <f>G49*F49</f>
        <v>1.7999999999999998</v>
      </c>
    </row>
    <row r="50" spans="2:8" s="42" customFormat="1" ht="15" x14ac:dyDescent="0.25">
      <c r="B50" s="654"/>
      <c r="C50" s="675"/>
      <c r="D50" s="40" t="s">
        <v>60</v>
      </c>
      <c r="E50" s="140" t="s">
        <v>48</v>
      </c>
      <c r="F50" s="165">
        <f>22*3</f>
        <v>66</v>
      </c>
      <c r="G50" s="165">
        <v>0.15</v>
      </c>
      <c r="H50" s="191">
        <f>G50*F50</f>
        <v>9.9</v>
      </c>
    </row>
    <row r="51" spans="2:8" s="42" customFormat="1" ht="31.5" x14ac:dyDescent="0.25">
      <c r="B51" s="598" t="s">
        <v>61</v>
      </c>
      <c r="C51" s="442">
        <v>20164</v>
      </c>
      <c r="D51" s="51" t="s">
        <v>62</v>
      </c>
      <c r="E51" s="49" t="s">
        <v>63</v>
      </c>
      <c r="F51" s="707" t="s">
        <v>27</v>
      </c>
      <c r="G51" s="707"/>
      <c r="H51" s="192">
        <f>SUM(H52:H53)</f>
        <v>7</v>
      </c>
    </row>
    <row r="52" spans="2:8" s="42" customFormat="1" ht="15" x14ac:dyDescent="0.25">
      <c r="B52" s="652"/>
      <c r="C52" s="673"/>
      <c r="D52" s="40" t="s">
        <v>64</v>
      </c>
      <c r="E52" s="140" t="s">
        <v>63</v>
      </c>
      <c r="F52" s="670">
        <v>4</v>
      </c>
      <c r="G52" s="670"/>
      <c r="H52" s="191">
        <f>F52</f>
        <v>4</v>
      </c>
    </row>
    <row r="53" spans="2:8" s="42" customFormat="1" ht="15" x14ac:dyDescent="0.25">
      <c r="B53" s="656"/>
      <c r="C53" s="674"/>
      <c r="D53" s="40" t="s">
        <v>24</v>
      </c>
      <c r="E53" s="140" t="s">
        <v>63</v>
      </c>
      <c r="F53" s="691">
        <v>3</v>
      </c>
      <c r="G53" s="684"/>
      <c r="H53" s="191">
        <f>F53</f>
        <v>3</v>
      </c>
    </row>
    <row r="54" spans="2:8" s="42" customFormat="1" ht="15.75" x14ac:dyDescent="0.25">
      <c r="B54" s="598" t="s">
        <v>65</v>
      </c>
      <c r="C54" s="442">
        <v>20167</v>
      </c>
      <c r="D54" s="51" t="s">
        <v>66</v>
      </c>
      <c r="E54" s="49" t="s">
        <v>67</v>
      </c>
      <c r="F54" s="707" t="s">
        <v>68</v>
      </c>
      <c r="G54" s="707"/>
      <c r="H54" s="192">
        <f>SUM(H55:H58)</f>
        <v>5</v>
      </c>
    </row>
    <row r="55" spans="2:8" s="42" customFormat="1" ht="15" x14ac:dyDescent="0.25">
      <c r="B55" s="652"/>
      <c r="C55" s="673"/>
      <c r="D55" s="40" t="s">
        <v>28</v>
      </c>
      <c r="E55" s="140" t="s">
        <v>67</v>
      </c>
      <c r="F55" s="670">
        <v>2</v>
      </c>
      <c r="G55" s="670"/>
      <c r="H55" s="191">
        <f>F55</f>
        <v>2</v>
      </c>
    </row>
    <row r="56" spans="2:8" s="42" customFormat="1" ht="15" x14ac:dyDescent="0.25">
      <c r="B56" s="654"/>
      <c r="C56" s="675"/>
      <c r="D56" s="40" t="s">
        <v>21</v>
      </c>
      <c r="E56" s="140" t="s">
        <v>67</v>
      </c>
      <c r="F56" s="670">
        <v>1</v>
      </c>
      <c r="G56" s="670"/>
      <c r="H56" s="191">
        <f>F56</f>
        <v>1</v>
      </c>
    </row>
    <row r="57" spans="2:8" s="42" customFormat="1" ht="15" x14ac:dyDescent="0.25">
      <c r="B57" s="654"/>
      <c r="C57" s="675"/>
      <c r="D57" s="40" t="s">
        <v>69</v>
      </c>
      <c r="E57" s="140" t="s">
        <v>67</v>
      </c>
      <c r="F57" s="670">
        <v>1</v>
      </c>
      <c r="G57" s="670"/>
      <c r="H57" s="191">
        <f>F57</f>
        <v>1</v>
      </c>
    </row>
    <row r="58" spans="2:8" s="42" customFormat="1" ht="15" x14ac:dyDescent="0.25">
      <c r="B58" s="654"/>
      <c r="C58" s="675"/>
      <c r="D58" s="40" t="s">
        <v>22</v>
      </c>
      <c r="E58" s="140" t="s">
        <v>67</v>
      </c>
      <c r="F58" s="670">
        <v>1</v>
      </c>
      <c r="G58" s="670"/>
      <c r="H58" s="191">
        <f>F58</f>
        <v>1</v>
      </c>
    </row>
    <row r="59" spans="2:8" s="42" customFormat="1" ht="15.75" x14ac:dyDescent="0.25">
      <c r="B59" s="598" t="s">
        <v>70</v>
      </c>
      <c r="C59" s="442">
        <v>20168</v>
      </c>
      <c r="D59" s="51" t="s">
        <v>71</v>
      </c>
      <c r="E59" s="49" t="s">
        <v>67</v>
      </c>
      <c r="F59" s="707" t="s">
        <v>68</v>
      </c>
      <c r="G59" s="707"/>
      <c r="H59" s="192">
        <f>SUM(H60:H63)</f>
        <v>8</v>
      </c>
    </row>
    <row r="60" spans="2:8" s="42" customFormat="1" ht="15" x14ac:dyDescent="0.25">
      <c r="B60" s="668"/>
      <c r="C60" s="669"/>
      <c r="D60" s="40" t="s">
        <v>28</v>
      </c>
      <c r="E60" s="140" t="s">
        <v>67</v>
      </c>
      <c r="F60" s="670">
        <v>3</v>
      </c>
      <c r="G60" s="670"/>
      <c r="H60" s="191">
        <f>F60</f>
        <v>3</v>
      </c>
    </row>
    <row r="61" spans="2:8" s="42" customFormat="1" ht="15" x14ac:dyDescent="0.25">
      <c r="B61" s="668"/>
      <c r="C61" s="669"/>
      <c r="D61" s="40" t="s">
        <v>21</v>
      </c>
      <c r="E61" s="140" t="s">
        <v>67</v>
      </c>
      <c r="F61" s="670">
        <v>2</v>
      </c>
      <c r="G61" s="670"/>
      <c r="H61" s="191">
        <f>F61</f>
        <v>2</v>
      </c>
    </row>
    <row r="62" spans="2:8" s="42" customFormat="1" ht="15" x14ac:dyDescent="0.25">
      <c r="B62" s="668"/>
      <c r="C62" s="669"/>
      <c r="D62" s="40" t="s">
        <v>69</v>
      </c>
      <c r="E62" s="140" t="s">
        <v>67</v>
      </c>
      <c r="F62" s="670">
        <v>1</v>
      </c>
      <c r="G62" s="670"/>
      <c r="H62" s="191">
        <f>F62</f>
        <v>1</v>
      </c>
    </row>
    <row r="63" spans="2:8" s="42" customFormat="1" ht="15" x14ac:dyDescent="0.25">
      <c r="B63" s="668"/>
      <c r="C63" s="669"/>
      <c r="D63" s="40" t="s">
        <v>22</v>
      </c>
      <c r="E63" s="140" t="s">
        <v>67</v>
      </c>
      <c r="F63" s="670">
        <v>2</v>
      </c>
      <c r="G63" s="670"/>
      <c r="H63" s="191">
        <f>F63</f>
        <v>2</v>
      </c>
    </row>
    <row r="64" spans="2:8" s="42" customFormat="1" ht="31.5" x14ac:dyDescent="0.25">
      <c r="B64" s="598" t="s">
        <v>72</v>
      </c>
      <c r="C64" s="442">
        <v>20140</v>
      </c>
      <c r="D64" s="51" t="s">
        <v>73</v>
      </c>
      <c r="E64" s="49" t="s">
        <v>67</v>
      </c>
      <c r="F64" s="707" t="s">
        <v>68</v>
      </c>
      <c r="G64" s="707"/>
      <c r="H64" s="192">
        <f>SUM(H65:H66)</f>
        <v>9</v>
      </c>
    </row>
    <row r="65" spans="2:8" s="42" customFormat="1" ht="15" x14ac:dyDescent="0.25">
      <c r="B65" s="668"/>
      <c r="C65" s="669"/>
      <c r="D65" s="40" t="s">
        <v>74</v>
      </c>
      <c r="E65" s="140" t="s">
        <v>67</v>
      </c>
      <c r="F65" s="670">
        <v>5</v>
      </c>
      <c r="G65" s="670"/>
      <c r="H65" s="191">
        <f>F65</f>
        <v>5</v>
      </c>
    </row>
    <row r="66" spans="2:8" s="42" customFormat="1" ht="15" x14ac:dyDescent="0.25">
      <c r="B66" s="668"/>
      <c r="C66" s="669"/>
      <c r="D66" s="40" t="s">
        <v>69</v>
      </c>
      <c r="E66" s="140" t="s">
        <v>67</v>
      </c>
      <c r="F66" s="670">
        <v>4</v>
      </c>
      <c r="G66" s="670"/>
      <c r="H66" s="191">
        <f>F66</f>
        <v>4</v>
      </c>
    </row>
    <row r="67" spans="2:8" s="42" customFormat="1" ht="31.5" x14ac:dyDescent="0.25">
      <c r="B67" s="598" t="s">
        <v>75</v>
      </c>
      <c r="C67" s="442">
        <v>21301</v>
      </c>
      <c r="D67" s="51" t="s">
        <v>76</v>
      </c>
      <c r="E67" s="49" t="s">
        <v>17</v>
      </c>
      <c r="F67" s="169" t="s">
        <v>27</v>
      </c>
      <c r="G67" s="169" t="s">
        <v>19</v>
      </c>
      <c r="H67" s="192">
        <f>SUM(H68)</f>
        <v>3</v>
      </c>
    </row>
    <row r="68" spans="2:8" s="42" customFormat="1" ht="15" x14ac:dyDescent="0.25">
      <c r="B68" s="668"/>
      <c r="C68" s="669"/>
      <c r="D68" s="40" t="s">
        <v>77</v>
      </c>
      <c r="E68" s="140" t="s">
        <v>17</v>
      </c>
      <c r="F68" s="165">
        <v>2</v>
      </c>
      <c r="G68" s="165">
        <v>1.5</v>
      </c>
      <c r="H68" s="191">
        <f>G68*F68</f>
        <v>3</v>
      </c>
    </row>
    <row r="69" spans="2:8" s="42" customFormat="1" ht="15.75" x14ac:dyDescent="0.25">
      <c r="B69" s="598" t="s">
        <v>78</v>
      </c>
      <c r="C69" s="607" t="s">
        <v>79</v>
      </c>
      <c r="D69" s="205" t="s">
        <v>80</v>
      </c>
      <c r="E69" s="49" t="s">
        <v>17</v>
      </c>
      <c r="F69" s="169" t="s">
        <v>81</v>
      </c>
      <c r="G69" s="169" t="s">
        <v>82</v>
      </c>
      <c r="H69" s="192">
        <f>SUM(H70)</f>
        <v>0.69300000000000006</v>
      </c>
    </row>
    <row r="70" spans="2:8" s="42" customFormat="1" ht="15" x14ac:dyDescent="0.25">
      <c r="B70" s="668"/>
      <c r="C70" s="669"/>
      <c r="D70" s="40" t="s">
        <v>83</v>
      </c>
      <c r="E70" s="140" t="s">
        <v>17</v>
      </c>
      <c r="F70" s="165">
        <v>14</v>
      </c>
      <c r="G70" s="165">
        <f>0.15*0.15*2.2</f>
        <v>4.9500000000000002E-2</v>
      </c>
      <c r="H70" s="191">
        <f>G70*F70</f>
        <v>0.69300000000000006</v>
      </c>
    </row>
    <row r="71" spans="2:8" s="42" customFormat="1" ht="15.75" x14ac:dyDescent="0.25">
      <c r="B71" s="598" t="s">
        <v>84</v>
      </c>
      <c r="C71" s="607" t="s">
        <v>85</v>
      </c>
      <c r="D71" s="205" t="s">
        <v>86</v>
      </c>
      <c r="E71" s="49" t="s">
        <v>17</v>
      </c>
      <c r="F71" s="169" t="s">
        <v>27</v>
      </c>
      <c r="G71" s="169" t="s">
        <v>19</v>
      </c>
      <c r="H71" s="192">
        <f>SUM(H72)</f>
        <v>562.5</v>
      </c>
    </row>
    <row r="72" spans="2:8" s="42" customFormat="1" ht="15" x14ac:dyDescent="0.25">
      <c r="B72" s="689"/>
      <c r="C72" s="690"/>
      <c r="D72" s="40" t="s">
        <v>87</v>
      </c>
      <c r="E72" s="140" t="s">
        <v>17</v>
      </c>
      <c r="F72" s="165">
        <v>25</v>
      </c>
      <c r="G72" s="165">
        <v>22.5</v>
      </c>
      <c r="H72" s="191">
        <f>F72*G72</f>
        <v>562.5</v>
      </c>
    </row>
    <row r="73" spans="2:8" s="42" customFormat="1" ht="15.75" x14ac:dyDescent="0.25">
      <c r="B73" s="740" t="s">
        <v>88</v>
      </c>
      <c r="C73" s="728"/>
      <c r="D73" s="741"/>
      <c r="E73" s="741"/>
      <c r="F73" s="741"/>
      <c r="G73" s="741"/>
      <c r="H73" s="742"/>
    </row>
    <row r="74" spans="2:8" s="42" customFormat="1" ht="15.75" x14ac:dyDescent="0.25">
      <c r="B74" s="187">
        <v>2</v>
      </c>
      <c r="C74" s="430" t="s">
        <v>89</v>
      </c>
      <c r="D74" s="728" t="s">
        <v>90</v>
      </c>
      <c r="E74" s="728"/>
      <c r="F74" s="728"/>
      <c r="G74" s="728"/>
      <c r="H74" s="195" t="s">
        <v>14</v>
      </c>
    </row>
    <row r="75" spans="2:8" s="42" customFormat="1" ht="15.75" x14ac:dyDescent="0.25">
      <c r="B75" s="598" t="s">
        <v>91</v>
      </c>
      <c r="C75" s="442">
        <v>30104</v>
      </c>
      <c r="D75" s="48" t="s">
        <v>92</v>
      </c>
      <c r="E75" s="49" t="s">
        <v>48</v>
      </c>
      <c r="F75" s="810" t="s">
        <v>93</v>
      </c>
      <c r="G75" s="811"/>
      <c r="H75" s="189">
        <f>SUM(H76,H78,H80,H82,H84,H86,H88,H90,H92,H94,H96,H98,)</f>
        <v>47.291139999999999</v>
      </c>
    </row>
    <row r="76" spans="2:8" s="42" customFormat="1" ht="15.75" x14ac:dyDescent="0.25">
      <c r="B76" s="608"/>
      <c r="C76" s="609"/>
      <c r="D76" s="393"/>
      <c r="E76" s="49" t="s">
        <v>48</v>
      </c>
      <c r="F76" s="407" t="s">
        <v>94</v>
      </c>
      <c r="G76" s="408" t="s">
        <v>58</v>
      </c>
      <c r="H76" s="391">
        <f>H77</f>
        <v>0.84136</v>
      </c>
    </row>
    <row r="77" spans="2:8" s="42" customFormat="1" ht="15" x14ac:dyDescent="0.25">
      <c r="B77" s="767"/>
      <c r="C77" s="768"/>
      <c r="D77" s="40" t="s">
        <v>95</v>
      </c>
      <c r="E77" s="208" t="s">
        <v>48</v>
      </c>
      <c r="F77" s="371">
        <v>64.72</v>
      </c>
      <c r="G77" s="371">
        <v>0.01</v>
      </c>
      <c r="H77" s="406">
        <f>(G77*F77)+(G77*F77*0.3)</f>
        <v>0.84136</v>
      </c>
    </row>
    <row r="78" spans="2:8" s="42" customFormat="1" ht="15.75" x14ac:dyDescent="0.25">
      <c r="B78" s="769"/>
      <c r="C78" s="770"/>
      <c r="D78" s="389"/>
      <c r="E78" s="49" t="s">
        <v>48</v>
      </c>
      <c r="F78" s="411" t="s">
        <v>94</v>
      </c>
      <c r="G78" s="412" t="s">
        <v>58</v>
      </c>
      <c r="H78" s="392">
        <f>H79</f>
        <v>0.12973999999999999</v>
      </c>
    </row>
    <row r="79" spans="2:8" s="42" customFormat="1" ht="15" x14ac:dyDescent="0.25">
      <c r="B79" s="769"/>
      <c r="C79" s="770"/>
      <c r="D79" s="40" t="s">
        <v>96</v>
      </c>
      <c r="E79" s="208" t="s">
        <v>48</v>
      </c>
      <c r="F79" s="371">
        <v>9.98</v>
      </c>
      <c r="G79" s="413">
        <v>0.01</v>
      </c>
      <c r="H79" s="406">
        <f>(G79*F79)+(G79*F79*0.3)</f>
        <v>0.12973999999999999</v>
      </c>
    </row>
    <row r="80" spans="2:8" s="42" customFormat="1" ht="15.75" x14ac:dyDescent="0.25">
      <c r="B80" s="769"/>
      <c r="C80" s="770"/>
      <c r="D80" s="389"/>
      <c r="E80" s="49" t="s">
        <v>48</v>
      </c>
      <c r="F80" s="411" t="s">
        <v>94</v>
      </c>
      <c r="G80" s="412" t="s">
        <v>58</v>
      </c>
      <c r="H80" s="392">
        <f>H81</f>
        <v>12.835809999999999</v>
      </c>
    </row>
    <row r="81" spans="2:8" s="42" customFormat="1" ht="15" x14ac:dyDescent="0.25">
      <c r="B81" s="769"/>
      <c r="C81" s="770"/>
      <c r="D81" s="40" t="s">
        <v>97</v>
      </c>
      <c r="E81" s="208" t="s">
        <v>48</v>
      </c>
      <c r="F81" s="371">
        <v>987.37</v>
      </c>
      <c r="G81" s="413">
        <v>0.01</v>
      </c>
      <c r="H81" s="406">
        <f>(G81*F81)+(G81*F81*0.3)</f>
        <v>12.835809999999999</v>
      </c>
    </row>
    <row r="82" spans="2:8" s="42" customFormat="1" ht="15.75" x14ac:dyDescent="0.25">
      <c r="B82" s="769"/>
      <c r="C82" s="770"/>
      <c r="D82" s="389"/>
      <c r="E82" s="49" t="s">
        <v>48</v>
      </c>
      <c r="F82" s="411" t="s">
        <v>94</v>
      </c>
      <c r="G82" s="412" t="s">
        <v>58</v>
      </c>
      <c r="H82" s="392">
        <f>H83</f>
        <v>7.2058999999999989</v>
      </c>
    </row>
    <row r="83" spans="2:8" s="42" customFormat="1" ht="15" x14ac:dyDescent="0.25">
      <c r="B83" s="769"/>
      <c r="C83" s="770"/>
      <c r="D83" s="40" t="s">
        <v>98</v>
      </c>
      <c r="E83" s="208" t="s">
        <v>48</v>
      </c>
      <c r="F83" s="371">
        <v>554.29999999999995</v>
      </c>
      <c r="G83" s="413">
        <v>0.01</v>
      </c>
      <c r="H83" s="406">
        <f>(G83*F83)+(G83*F83*0.3)</f>
        <v>7.2058999999999989</v>
      </c>
    </row>
    <row r="84" spans="2:8" s="42" customFormat="1" ht="15.75" x14ac:dyDescent="0.25">
      <c r="B84" s="769"/>
      <c r="C84" s="770"/>
      <c r="D84" s="389"/>
      <c r="E84" s="49" t="s">
        <v>48</v>
      </c>
      <c r="F84" s="411" t="s">
        <v>94</v>
      </c>
      <c r="G84" s="412" t="s">
        <v>58</v>
      </c>
      <c r="H84" s="392">
        <f>H85</f>
        <v>4.0738099999999999</v>
      </c>
    </row>
    <row r="85" spans="2:8" s="42" customFormat="1" ht="15" x14ac:dyDescent="0.25">
      <c r="B85" s="769"/>
      <c r="C85" s="770"/>
      <c r="D85" s="40" t="s">
        <v>99</v>
      </c>
      <c r="E85" s="208" t="s">
        <v>48</v>
      </c>
      <c r="F85" s="371">
        <v>313.37</v>
      </c>
      <c r="G85" s="413">
        <v>0.01</v>
      </c>
      <c r="H85" s="406">
        <f>(G85*F85)+(G85*F85*0.3)</f>
        <v>4.0738099999999999</v>
      </c>
    </row>
    <row r="86" spans="2:8" s="42" customFormat="1" ht="15.75" x14ac:dyDescent="0.25">
      <c r="B86" s="769"/>
      <c r="C86" s="770"/>
      <c r="D86" s="389"/>
      <c r="E86" s="49" t="s">
        <v>48</v>
      </c>
      <c r="F86" s="409" t="s">
        <v>94</v>
      </c>
      <c r="G86" s="410" t="s">
        <v>58</v>
      </c>
      <c r="H86" s="392">
        <f>H87</f>
        <v>14.05768</v>
      </c>
    </row>
    <row r="87" spans="2:8" s="42" customFormat="1" ht="15" x14ac:dyDescent="0.25">
      <c r="B87" s="769"/>
      <c r="C87" s="770"/>
      <c r="D87" s="40" t="s">
        <v>100</v>
      </c>
      <c r="E87" s="140" t="s">
        <v>48</v>
      </c>
      <c r="F87" s="395">
        <v>1081.3599999999999</v>
      </c>
      <c r="G87" s="413">
        <v>0.01</v>
      </c>
      <c r="H87" s="406">
        <f>(G87*F87)+(G87*F87*0.3)</f>
        <v>14.05768</v>
      </c>
    </row>
    <row r="88" spans="2:8" s="42" customFormat="1" ht="15.75" x14ac:dyDescent="0.25">
      <c r="B88" s="769"/>
      <c r="C88" s="770"/>
      <c r="D88" s="389"/>
      <c r="E88" s="49" t="s">
        <v>48</v>
      </c>
      <c r="F88" s="390" t="s">
        <v>94</v>
      </c>
      <c r="G88" s="390" t="s">
        <v>58</v>
      </c>
      <c r="H88" s="392">
        <f>H89</f>
        <v>6.3918400000000002</v>
      </c>
    </row>
    <row r="89" spans="2:8" s="42" customFormat="1" ht="15" x14ac:dyDescent="0.25">
      <c r="B89" s="769"/>
      <c r="C89" s="770"/>
      <c r="D89" s="40" t="s">
        <v>101</v>
      </c>
      <c r="E89" s="140" t="s">
        <v>48</v>
      </c>
      <c r="F89" s="165">
        <v>35.119999999999997</v>
      </c>
      <c r="G89" s="165">
        <v>0.14000000000000001</v>
      </c>
      <c r="H89" s="406">
        <f>(G89*F89)+(G89*F89*0.3)</f>
        <v>6.3918400000000002</v>
      </c>
    </row>
    <row r="90" spans="2:8" s="42" customFormat="1" ht="15.75" x14ac:dyDescent="0.25">
      <c r="B90" s="769"/>
      <c r="C90" s="770"/>
      <c r="D90" s="389"/>
      <c r="E90" s="49" t="s">
        <v>48</v>
      </c>
      <c r="F90" s="390" t="s">
        <v>94</v>
      </c>
      <c r="G90" s="390" t="s">
        <v>58</v>
      </c>
      <c r="H90" s="392">
        <f>H91</f>
        <v>1.014</v>
      </c>
    </row>
    <row r="91" spans="2:8" s="42" customFormat="1" ht="15" x14ac:dyDescent="0.25">
      <c r="B91" s="769"/>
      <c r="C91" s="770"/>
      <c r="D91" s="40" t="s">
        <v>102</v>
      </c>
      <c r="E91" s="140" t="s">
        <v>48</v>
      </c>
      <c r="F91" s="165">
        <v>15.6</v>
      </c>
      <c r="G91" s="165">
        <v>0.05</v>
      </c>
      <c r="H91" s="406">
        <f>(G91*F91)+(G91*F91*0.3)</f>
        <v>1.014</v>
      </c>
    </row>
    <row r="92" spans="2:8" s="42" customFormat="1" ht="15.75" x14ac:dyDescent="0.25">
      <c r="B92" s="769"/>
      <c r="C92" s="770"/>
      <c r="D92" s="389"/>
      <c r="E92" s="49" t="s">
        <v>48</v>
      </c>
      <c r="F92" s="390" t="s">
        <v>94</v>
      </c>
      <c r="G92" s="408" t="s">
        <v>58</v>
      </c>
      <c r="H92" s="392">
        <f>H93</f>
        <v>0.39</v>
      </c>
    </row>
    <row r="93" spans="2:8" s="42" customFormat="1" ht="15" x14ac:dyDescent="0.25">
      <c r="B93" s="769"/>
      <c r="C93" s="770"/>
      <c r="D93" s="40" t="s">
        <v>103</v>
      </c>
      <c r="E93" s="208" t="s">
        <v>48</v>
      </c>
      <c r="F93" s="371">
        <v>30</v>
      </c>
      <c r="G93" s="413">
        <v>0.01</v>
      </c>
      <c r="H93" s="406">
        <f>(G93*F93)+(G93*F93*0.3)</f>
        <v>0.39</v>
      </c>
    </row>
    <row r="94" spans="2:8" s="42" customFormat="1" ht="15.75" x14ac:dyDescent="0.25">
      <c r="B94" s="769"/>
      <c r="C94" s="770"/>
      <c r="D94" s="389"/>
      <c r="E94" s="49" t="s">
        <v>48</v>
      </c>
      <c r="F94" s="390" t="s">
        <v>94</v>
      </c>
      <c r="G94" s="412" t="s">
        <v>58</v>
      </c>
      <c r="H94" s="392">
        <f>H95</f>
        <v>6.5000000000000002E-2</v>
      </c>
    </row>
    <row r="95" spans="2:8" s="42" customFormat="1" ht="15" x14ac:dyDescent="0.25">
      <c r="B95" s="769"/>
      <c r="C95" s="770"/>
      <c r="D95" s="40" t="s">
        <v>104</v>
      </c>
      <c r="E95" s="208" t="s">
        <v>48</v>
      </c>
      <c r="F95" s="371">
        <v>5</v>
      </c>
      <c r="G95" s="413">
        <v>0.01</v>
      </c>
      <c r="H95" s="406">
        <f>(G95*F95)+(G95*F95*0.3)</f>
        <v>6.5000000000000002E-2</v>
      </c>
    </row>
    <row r="96" spans="2:8" s="42" customFormat="1" ht="15.75" x14ac:dyDescent="0.25">
      <c r="B96" s="769"/>
      <c r="C96" s="770"/>
      <c r="D96" s="389"/>
      <c r="E96" s="49" t="s">
        <v>48</v>
      </c>
      <c r="F96" s="390" t="s">
        <v>94</v>
      </c>
      <c r="G96" s="412" t="s">
        <v>58</v>
      </c>
      <c r="H96" s="392">
        <f>H97</f>
        <v>0.10400000000000001</v>
      </c>
    </row>
    <row r="97" spans="2:8" s="42" customFormat="1" ht="15" x14ac:dyDescent="0.25">
      <c r="B97" s="769"/>
      <c r="C97" s="770"/>
      <c r="D97" s="40" t="s">
        <v>105</v>
      </c>
      <c r="E97" s="208" t="s">
        <v>48</v>
      </c>
      <c r="F97" s="371">
        <v>8</v>
      </c>
      <c r="G97" s="413">
        <v>0.01</v>
      </c>
      <c r="H97" s="406">
        <f>(G97*F97)+(G97*F97*0.3)</f>
        <v>0.10400000000000001</v>
      </c>
    </row>
    <row r="98" spans="2:8" s="42" customFormat="1" ht="15.75" x14ac:dyDescent="0.25">
      <c r="B98" s="769"/>
      <c r="C98" s="770"/>
      <c r="D98" s="389"/>
      <c r="E98" s="49" t="s">
        <v>48</v>
      </c>
      <c r="F98" s="411" t="s">
        <v>94</v>
      </c>
      <c r="G98" s="412" t="s">
        <v>58</v>
      </c>
      <c r="H98" s="392">
        <f>H99</f>
        <v>0.18200000000000002</v>
      </c>
    </row>
    <row r="99" spans="2:8" s="42" customFormat="1" ht="15" x14ac:dyDescent="0.25">
      <c r="B99" s="771"/>
      <c r="C99" s="772"/>
      <c r="D99" s="40" t="s">
        <v>106</v>
      </c>
      <c r="E99" s="208" t="s">
        <v>48</v>
      </c>
      <c r="F99" s="371">
        <v>14</v>
      </c>
      <c r="G99" s="413">
        <v>0.01</v>
      </c>
      <c r="H99" s="406">
        <f>(G99*F99)+(G99*F99*0.3)</f>
        <v>0.18200000000000002</v>
      </c>
    </row>
    <row r="100" spans="2:8" s="42" customFormat="1" ht="15.75" x14ac:dyDescent="0.25">
      <c r="B100" s="740" t="s">
        <v>107</v>
      </c>
      <c r="C100" s="728"/>
      <c r="D100" s="741"/>
      <c r="E100" s="741"/>
      <c r="F100" s="705"/>
      <c r="G100" s="705"/>
      <c r="H100" s="742"/>
    </row>
    <row r="101" spans="2:8" s="42" customFormat="1" ht="15.75" x14ac:dyDescent="0.25">
      <c r="B101" s="610">
        <v>3</v>
      </c>
      <c r="C101" s="430" t="s">
        <v>108</v>
      </c>
      <c r="D101" s="720" t="s">
        <v>109</v>
      </c>
      <c r="E101" s="681"/>
      <c r="F101" s="681"/>
      <c r="G101" s="721"/>
      <c r="H101" s="195" t="s">
        <v>14</v>
      </c>
    </row>
    <row r="102" spans="2:8" s="42" customFormat="1" ht="15.75" x14ac:dyDescent="0.25">
      <c r="B102" s="598" t="s">
        <v>110</v>
      </c>
      <c r="C102" s="442">
        <v>40103</v>
      </c>
      <c r="D102" s="52" t="s">
        <v>111</v>
      </c>
      <c r="E102" s="53" t="s">
        <v>48</v>
      </c>
      <c r="F102" s="169" t="s">
        <v>94</v>
      </c>
      <c r="G102" s="169" t="s">
        <v>40</v>
      </c>
      <c r="H102" s="192">
        <f>SUM(H104)</f>
        <v>1.7039999999999997</v>
      </c>
    </row>
    <row r="103" spans="2:8" s="42" customFormat="1" ht="15.75" x14ac:dyDescent="0.25">
      <c r="B103" s="718"/>
      <c r="C103" s="719"/>
      <c r="D103" s="102" t="s">
        <v>112</v>
      </c>
      <c r="E103" s="103" t="s">
        <v>48</v>
      </c>
      <c r="F103" s="113" t="s">
        <v>94</v>
      </c>
      <c r="G103" s="113" t="s">
        <v>40</v>
      </c>
      <c r="H103" s="196">
        <f>H104</f>
        <v>1.7039999999999997</v>
      </c>
    </row>
    <row r="104" spans="2:8" s="42" customFormat="1" ht="15.75" x14ac:dyDescent="0.25">
      <c r="B104" s="718"/>
      <c r="C104" s="719"/>
      <c r="D104" s="54" t="s">
        <v>113</v>
      </c>
      <c r="E104" s="55" t="s">
        <v>48</v>
      </c>
      <c r="F104" s="58">
        <v>7.0999999999999994E-2</v>
      </c>
      <c r="G104" s="170">
        <v>3</v>
      </c>
      <c r="H104" s="193">
        <f>8*G104*F104</f>
        <v>1.7039999999999997</v>
      </c>
    </row>
    <row r="105" spans="2:8" s="42" customFormat="1" ht="15.75" x14ac:dyDescent="0.25">
      <c r="B105" s="598" t="s">
        <v>114</v>
      </c>
      <c r="C105" s="442">
        <v>41002</v>
      </c>
      <c r="D105" s="52" t="s">
        <v>115</v>
      </c>
      <c r="E105" s="414" t="s">
        <v>17</v>
      </c>
      <c r="F105" s="707" t="s">
        <v>94</v>
      </c>
      <c r="G105" s="707"/>
      <c r="H105" s="192">
        <f>H107</f>
        <v>0.56799999999999995</v>
      </c>
    </row>
    <row r="106" spans="2:8" s="42" customFormat="1" ht="15.6" customHeight="1" x14ac:dyDescent="0.25">
      <c r="B106" s="718"/>
      <c r="C106" s="719"/>
      <c r="D106" s="102" t="s">
        <v>112</v>
      </c>
      <c r="E106" s="415" t="s">
        <v>17</v>
      </c>
      <c r="F106" s="807" t="s">
        <v>94</v>
      </c>
      <c r="G106" s="808"/>
      <c r="H106" s="197">
        <f>H107</f>
        <v>0.56799999999999995</v>
      </c>
    </row>
    <row r="107" spans="2:8" s="42" customFormat="1" ht="15.6" customHeight="1" x14ac:dyDescent="0.25">
      <c r="B107" s="718"/>
      <c r="C107" s="719"/>
      <c r="D107" s="54" t="s">
        <v>113</v>
      </c>
      <c r="E107" s="405" t="s">
        <v>17</v>
      </c>
      <c r="F107" s="806">
        <v>7.0999999999999994E-2</v>
      </c>
      <c r="G107" s="806"/>
      <c r="H107" s="193">
        <f>F107*8</f>
        <v>0.56799999999999995</v>
      </c>
    </row>
    <row r="108" spans="2:8" s="42" customFormat="1" ht="15.75" x14ac:dyDescent="0.25">
      <c r="B108" s="740" t="s">
        <v>116</v>
      </c>
      <c r="C108" s="728"/>
      <c r="D108" s="741"/>
      <c r="E108" s="741"/>
      <c r="F108" s="741"/>
      <c r="G108" s="741"/>
      <c r="H108" s="742"/>
    </row>
    <row r="109" spans="2:8" s="42" customFormat="1" ht="15.75" x14ac:dyDescent="0.25">
      <c r="B109" s="610">
        <v>4</v>
      </c>
      <c r="C109" s="430" t="s">
        <v>117</v>
      </c>
      <c r="D109" s="728" t="s">
        <v>118</v>
      </c>
      <c r="E109" s="728"/>
      <c r="F109" s="728"/>
      <c r="G109" s="728"/>
      <c r="H109" s="809"/>
    </row>
    <row r="110" spans="2:8" s="42" customFormat="1" ht="15.75" x14ac:dyDescent="0.25">
      <c r="B110" s="804"/>
      <c r="C110" s="805"/>
      <c r="D110" s="720" t="s">
        <v>119</v>
      </c>
      <c r="E110" s="681"/>
      <c r="F110" s="681"/>
      <c r="G110" s="721"/>
      <c r="H110" s="195" t="s">
        <v>120</v>
      </c>
    </row>
    <row r="111" spans="2:8" s="42" customFormat="1" ht="15.75" x14ac:dyDescent="0.25">
      <c r="B111" s="598" t="s">
        <v>121</v>
      </c>
      <c r="C111" s="442">
        <v>50302</v>
      </c>
      <c r="D111" s="52" t="s">
        <v>122</v>
      </c>
      <c r="E111" s="53" t="s">
        <v>48</v>
      </c>
      <c r="F111" s="169" t="s">
        <v>94</v>
      </c>
      <c r="G111" s="169" t="s">
        <v>40</v>
      </c>
      <c r="H111" s="192">
        <f>SUM(H113)</f>
        <v>2.2608000000000001</v>
      </c>
    </row>
    <row r="112" spans="2:8" s="42" customFormat="1" ht="15.75" x14ac:dyDescent="0.25">
      <c r="B112" s="658"/>
      <c r="C112" s="659"/>
      <c r="D112" s="102" t="s">
        <v>112</v>
      </c>
      <c r="E112" s="103" t="s">
        <v>48</v>
      </c>
      <c r="F112" s="96" t="s">
        <v>94</v>
      </c>
      <c r="G112" s="96" t="s">
        <v>40</v>
      </c>
      <c r="H112" s="198">
        <f>H113</f>
        <v>2.2608000000000001</v>
      </c>
    </row>
    <row r="113" spans="2:8" s="42" customFormat="1" ht="15.75" x14ac:dyDescent="0.25">
      <c r="B113" s="660"/>
      <c r="C113" s="661"/>
      <c r="D113" s="54" t="s">
        <v>113</v>
      </c>
      <c r="E113" s="55" t="s">
        <v>48</v>
      </c>
      <c r="F113" s="57">
        <f>3.14*(0.15^2)</f>
        <v>7.0650000000000004E-2</v>
      </c>
      <c r="G113" s="170">
        <v>4</v>
      </c>
      <c r="H113" s="193">
        <f>8*G113*F113</f>
        <v>2.2608000000000001</v>
      </c>
    </row>
    <row r="114" spans="2:8" s="42" customFormat="1" ht="15.75" x14ac:dyDescent="0.25">
      <c r="B114" s="598" t="s">
        <v>123</v>
      </c>
      <c r="C114" s="442">
        <v>51024</v>
      </c>
      <c r="D114" s="52" t="s">
        <v>124</v>
      </c>
      <c r="E114" s="164" t="s">
        <v>48</v>
      </c>
      <c r="F114" s="169" t="s">
        <v>49</v>
      </c>
      <c r="G114" s="169" t="s">
        <v>58</v>
      </c>
      <c r="H114" s="192">
        <f>H116</f>
        <v>2.8399999999999998E-2</v>
      </c>
    </row>
    <row r="115" spans="2:8" s="42" customFormat="1" ht="15.75" x14ac:dyDescent="0.25">
      <c r="B115" s="668"/>
      <c r="C115" s="669"/>
      <c r="D115" s="102" t="s">
        <v>112</v>
      </c>
      <c r="E115" s="103" t="s">
        <v>48</v>
      </c>
      <c r="F115" s="96" t="s">
        <v>94</v>
      </c>
      <c r="G115" s="96" t="s">
        <v>58</v>
      </c>
      <c r="H115" s="198">
        <f>H116</f>
        <v>2.8399999999999998E-2</v>
      </c>
    </row>
    <row r="116" spans="2:8" s="42" customFormat="1" ht="15.75" x14ac:dyDescent="0.25">
      <c r="B116" s="668"/>
      <c r="C116" s="669"/>
      <c r="D116" s="54" t="s">
        <v>113</v>
      </c>
      <c r="E116" s="44" t="s">
        <v>48</v>
      </c>
      <c r="F116" s="167">
        <v>7.0999999999999994E-2</v>
      </c>
      <c r="G116" s="56">
        <v>0.05</v>
      </c>
      <c r="H116" s="191">
        <f>8*G116*F116</f>
        <v>2.8399999999999998E-2</v>
      </c>
    </row>
    <row r="117" spans="2:8" s="42" customFormat="1" ht="15.75" x14ac:dyDescent="0.25">
      <c r="B117" s="598" t="s">
        <v>125</v>
      </c>
      <c r="C117" s="442">
        <v>52004</v>
      </c>
      <c r="D117" s="52" t="s">
        <v>126</v>
      </c>
      <c r="E117" s="164" t="s">
        <v>127</v>
      </c>
      <c r="F117" s="169" t="s">
        <v>27</v>
      </c>
      <c r="G117" s="169" t="s">
        <v>128</v>
      </c>
      <c r="H117" s="192">
        <f>H119</f>
        <v>409.6</v>
      </c>
    </row>
    <row r="118" spans="2:8" s="42" customFormat="1" ht="15.75" x14ac:dyDescent="0.25">
      <c r="B118" s="668"/>
      <c r="C118" s="669"/>
      <c r="D118" s="102" t="s">
        <v>112</v>
      </c>
      <c r="E118" s="103" t="s">
        <v>127</v>
      </c>
      <c r="F118" s="96" t="s">
        <v>27</v>
      </c>
      <c r="G118" s="96" t="s">
        <v>128</v>
      </c>
      <c r="H118" s="198">
        <f>H119</f>
        <v>409.6</v>
      </c>
    </row>
    <row r="119" spans="2:8" s="42" customFormat="1" ht="15.75" x14ac:dyDescent="0.25">
      <c r="B119" s="668"/>
      <c r="C119" s="669"/>
      <c r="D119" s="54" t="s">
        <v>113</v>
      </c>
      <c r="E119" s="44" t="s">
        <v>127</v>
      </c>
      <c r="F119" s="165">
        <f>16*8</f>
        <v>128</v>
      </c>
      <c r="G119" s="165">
        <v>0.4</v>
      </c>
      <c r="H119" s="199">
        <f>G119*F119*8</f>
        <v>409.6</v>
      </c>
    </row>
    <row r="120" spans="2:8" s="42" customFormat="1" ht="15.75" x14ac:dyDescent="0.25">
      <c r="B120" s="598" t="s">
        <v>129</v>
      </c>
      <c r="C120" s="442">
        <v>52014</v>
      </c>
      <c r="D120" s="52" t="s">
        <v>1164</v>
      </c>
      <c r="E120" s="164" t="s">
        <v>127</v>
      </c>
      <c r="F120" s="169" t="s">
        <v>27</v>
      </c>
      <c r="G120" s="169" t="s">
        <v>128</v>
      </c>
      <c r="H120" s="192">
        <f>H122</f>
        <v>19.2</v>
      </c>
    </row>
    <row r="121" spans="2:8" s="42" customFormat="1" ht="15.75" x14ac:dyDescent="0.25">
      <c r="B121" s="668"/>
      <c r="C121" s="669"/>
      <c r="D121" s="102" t="s">
        <v>112</v>
      </c>
      <c r="E121" s="103" t="s">
        <v>127</v>
      </c>
      <c r="F121" s="142" t="s">
        <v>27</v>
      </c>
      <c r="G121" s="142" t="s">
        <v>128</v>
      </c>
      <c r="H121" s="198">
        <f>H122</f>
        <v>19.2</v>
      </c>
    </row>
    <row r="122" spans="2:8" s="42" customFormat="1" ht="15.75" x14ac:dyDescent="0.25">
      <c r="B122" s="668"/>
      <c r="C122" s="669"/>
      <c r="D122" s="54" t="s">
        <v>113</v>
      </c>
      <c r="E122" s="44" t="s">
        <v>127</v>
      </c>
      <c r="F122" s="165">
        <f>15*8</f>
        <v>120</v>
      </c>
      <c r="G122" s="165">
        <v>0.16</v>
      </c>
      <c r="H122" s="199">
        <f>G122*F122</f>
        <v>19.2</v>
      </c>
    </row>
    <row r="123" spans="2:8" s="42" customFormat="1" ht="15.75" x14ac:dyDescent="0.25">
      <c r="B123" s="598" t="s">
        <v>131</v>
      </c>
      <c r="C123" s="442">
        <v>51032</v>
      </c>
      <c r="D123" s="52" t="s">
        <v>132</v>
      </c>
      <c r="E123" s="164" t="s">
        <v>48</v>
      </c>
      <c r="F123" s="169" t="s">
        <v>94</v>
      </c>
      <c r="G123" s="169" t="s">
        <v>40</v>
      </c>
      <c r="H123" s="192">
        <f>H125</f>
        <v>1.7039999999999997</v>
      </c>
    </row>
    <row r="124" spans="2:8" s="42" customFormat="1" ht="15.75" x14ac:dyDescent="0.25">
      <c r="B124" s="668"/>
      <c r="C124" s="669"/>
      <c r="D124" s="102" t="s">
        <v>112</v>
      </c>
      <c r="E124" s="103" t="s">
        <v>48</v>
      </c>
      <c r="F124" s="96" t="s">
        <v>94</v>
      </c>
      <c r="G124" s="96" t="s">
        <v>40</v>
      </c>
      <c r="H124" s="198">
        <f>H125</f>
        <v>1.7039999999999997</v>
      </c>
    </row>
    <row r="125" spans="2:8" s="42" customFormat="1" ht="15.75" x14ac:dyDescent="0.25">
      <c r="B125" s="668"/>
      <c r="C125" s="669"/>
      <c r="D125" s="54" t="s">
        <v>113</v>
      </c>
      <c r="E125" s="44" t="s">
        <v>48</v>
      </c>
      <c r="F125" s="165">
        <v>7.0999999999999994E-2</v>
      </c>
      <c r="G125" s="165">
        <v>3</v>
      </c>
      <c r="H125" s="199">
        <f>8*G125*F125</f>
        <v>1.7039999999999997</v>
      </c>
    </row>
    <row r="126" spans="2:8" s="42" customFormat="1" ht="15.75" x14ac:dyDescent="0.25">
      <c r="B126" s="804"/>
      <c r="C126" s="805"/>
      <c r="D126" s="720" t="s">
        <v>133</v>
      </c>
      <c r="E126" s="681"/>
      <c r="F126" s="681"/>
      <c r="G126" s="721"/>
      <c r="H126" s="195" t="s">
        <v>120</v>
      </c>
    </row>
    <row r="127" spans="2:8" s="42" customFormat="1" ht="15.75" x14ac:dyDescent="0.25">
      <c r="B127" s="598" t="s">
        <v>134</v>
      </c>
      <c r="C127" s="442">
        <v>50901</v>
      </c>
      <c r="D127" s="52" t="s">
        <v>135</v>
      </c>
      <c r="E127" s="53" t="s">
        <v>48</v>
      </c>
      <c r="F127" s="169" t="s">
        <v>94</v>
      </c>
      <c r="G127" s="169" t="s">
        <v>40</v>
      </c>
      <c r="H127" s="192">
        <f>SUM(H129)</f>
        <v>1.5840000000000001</v>
      </c>
    </row>
    <row r="128" spans="2:8" s="42" customFormat="1" ht="15.75" x14ac:dyDescent="0.25">
      <c r="B128" s="658"/>
      <c r="C128" s="659"/>
      <c r="D128" s="102" t="s">
        <v>112</v>
      </c>
      <c r="E128" s="103" t="s">
        <v>48</v>
      </c>
      <c r="F128" s="96" t="s">
        <v>94</v>
      </c>
      <c r="G128" s="96" t="s">
        <v>40</v>
      </c>
      <c r="H128" s="198">
        <f>H129</f>
        <v>1.5840000000000001</v>
      </c>
    </row>
    <row r="129" spans="2:8" s="42" customFormat="1" ht="15.75" x14ac:dyDescent="0.25">
      <c r="B129" s="660"/>
      <c r="C129" s="661"/>
      <c r="D129" s="45" t="s">
        <v>136</v>
      </c>
      <c r="E129" s="55" t="s">
        <v>48</v>
      </c>
      <c r="F129" s="57">
        <f>0.6*0.6</f>
        <v>0.36</v>
      </c>
      <c r="G129" s="170">
        <v>0.55000000000000004</v>
      </c>
      <c r="H129" s="193">
        <f>8*G129*F129</f>
        <v>1.5840000000000001</v>
      </c>
    </row>
    <row r="130" spans="2:8" s="42" customFormat="1" ht="15.75" x14ac:dyDescent="0.25">
      <c r="B130" s="598" t="s">
        <v>137</v>
      </c>
      <c r="C130" s="442">
        <v>51009</v>
      </c>
      <c r="D130" s="52" t="s">
        <v>138</v>
      </c>
      <c r="E130" s="164" t="s">
        <v>17</v>
      </c>
      <c r="F130" s="707" t="s">
        <v>94</v>
      </c>
      <c r="G130" s="707"/>
      <c r="H130" s="192">
        <f>H132</f>
        <v>11.52</v>
      </c>
    </row>
    <row r="131" spans="2:8" s="42" customFormat="1" ht="15.75" x14ac:dyDescent="0.25">
      <c r="B131" s="718"/>
      <c r="C131" s="719"/>
      <c r="D131" s="102" t="s">
        <v>139</v>
      </c>
      <c r="E131" s="103" t="s">
        <v>17</v>
      </c>
      <c r="F131" s="816" t="s">
        <v>94</v>
      </c>
      <c r="G131" s="817"/>
      <c r="H131" s="197">
        <f>H132</f>
        <v>11.52</v>
      </c>
    </row>
    <row r="132" spans="2:8" s="42" customFormat="1" ht="15" x14ac:dyDescent="0.25">
      <c r="B132" s="718"/>
      <c r="C132" s="719"/>
      <c r="D132" s="45" t="s">
        <v>136</v>
      </c>
      <c r="E132" s="44" t="s">
        <v>17</v>
      </c>
      <c r="F132" s="812">
        <f>0.6*0.6*4</f>
        <v>1.44</v>
      </c>
      <c r="G132" s="812"/>
      <c r="H132" s="193">
        <f>F132*8</f>
        <v>11.52</v>
      </c>
    </row>
    <row r="133" spans="2:8" s="42" customFormat="1" ht="15.75" x14ac:dyDescent="0.25">
      <c r="B133" s="598" t="s">
        <v>140</v>
      </c>
      <c r="C133" s="442">
        <v>52014</v>
      </c>
      <c r="D133" s="52" t="s">
        <v>130</v>
      </c>
      <c r="E133" s="164" t="s">
        <v>127</v>
      </c>
      <c r="F133" s="169" t="s">
        <v>27</v>
      </c>
      <c r="G133" s="169" t="s">
        <v>128</v>
      </c>
      <c r="H133" s="192">
        <f>H135</f>
        <v>19.2</v>
      </c>
    </row>
    <row r="134" spans="2:8" s="42" customFormat="1" ht="15.75" x14ac:dyDescent="0.25">
      <c r="B134" s="668"/>
      <c r="C134" s="669"/>
      <c r="D134" s="102" t="s">
        <v>112</v>
      </c>
      <c r="E134" s="103" t="s">
        <v>127</v>
      </c>
      <c r="F134" s="142" t="s">
        <v>27</v>
      </c>
      <c r="G134" s="142" t="s">
        <v>128</v>
      </c>
      <c r="H134" s="198">
        <f>H135</f>
        <v>19.2</v>
      </c>
    </row>
    <row r="135" spans="2:8" s="42" customFormat="1" ht="15" x14ac:dyDescent="0.25">
      <c r="B135" s="668"/>
      <c r="C135" s="669"/>
      <c r="D135" s="45" t="s">
        <v>136</v>
      </c>
      <c r="E135" s="44" t="s">
        <v>127</v>
      </c>
      <c r="F135" s="165">
        <f>15*8</f>
        <v>120</v>
      </c>
      <c r="G135" s="165">
        <v>0.16</v>
      </c>
      <c r="H135" s="199">
        <f>G135*F135</f>
        <v>19.2</v>
      </c>
    </row>
    <row r="136" spans="2:8" s="42" customFormat="1" ht="15.75" x14ac:dyDescent="0.25">
      <c r="B136" s="598" t="s">
        <v>141</v>
      </c>
      <c r="C136" s="442">
        <v>52004</v>
      </c>
      <c r="D136" s="52" t="s">
        <v>126</v>
      </c>
      <c r="E136" s="164" t="s">
        <v>127</v>
      </c>
      <c r="F136" s="169" t="s">
        <v>27</v>
      </c>
      <c r="G136" s="169" t="s">
        <v>128</v>
      </c>
      <c r="H136" s="192">
        <f>H138</f>
        <v>409.6</v>
      </c>
    </row>
    <row r="137" spans="2:8" s="42" customFormat="1" ht="15.75" x14ac:dyDescent="0.25">
      <c r="B137" s="668"/>
      <c r="C137" s="669"/>
      <c r="D137" s="102" t="s">
        <v>112</v>
      </c>
      <c r="E137" s="103" t="s">
        <v>127</v>
      </c>
      <c r="F137" s="96" t="s">
        <v>27</v>
      </c>
      <c r="G137" s="96" t="s">
        <v>128</v>
      </c>
      <c r="H137" s="198">
        <f>H138</f>
        <v>409.6</v>
      </c>
    </row>
    <row r="138" spans="2:8" s="42" customFormat="1" ht="15" x14ac:dyDescent="0.25">
      <c r="B138" s="668"/>
      <c r="C138" s="669"/>
      <c r="D138" s="45" t="s">
        <v>136</v>
      </c>
      <c r="E138" s="44" t="s">
        <v>127</v>
      </c>
      <c r="F138" s="165">
        <f>16*8</f>
        <v>128</v>
      </c>
      <c r="G138" s="165">
        <v>0.4</v>
      </c>
      <c r="H138" s="199">
        <f>G138*F138*8</f>
        <v>409.6</v>
      </c>
    </row>
    <row r="139" spans="2:8" s="42" customFormat="1" ht="15.75" x14ac:dyDescent="0.25">
      <c r="B139" s="598" t="s">
        <v>142</v>
      </c>
      <c r="C139" s="442">
        <v>51032</v>
      </c>
      <c r="D139" s="52" t="s">
        <v>143</v>
      </c>
      <c r="E139" s="164" t="s">
        <v>48</v>
      </c>
      <c r="F139" s="169" t="s">
        <v>94</v>
      </c>
      <c r="G139" s="169" t="s">
        <v>40</v>
      </c>
      <c r="H139" s="192">
        <f>H141</f>
        <v>1.5840000000000001</v>
      </c>
    </row>
    <row r="140" spans="2:8" s="42" customFormat="1" ht="15.75" x14ac:dyDescent="0.25">
      <c r="B140" s="668"/>
      <c r="C140" s="669"/>
      <c r="D140" s="102" t="s">
        <v>112</v>
      </c>
      <c r="E140" s="103" t="s">
        <v>48</v>
      </c>
      <c r="F140" s="142" t="s">
        <v>94</v>
      </c>
      <c r="G140" s="142" t="s">
        <v>40</v>
      </c>
      <c r="H140" s="198">
        <f>H141</f>
        <v>1.5840000000000001</v>
      </c>
    </row>
    <row r="141" spans="2:8" s="42" customFormat="1" ht="15" x14ac:dyDescent="0.25">
      <c r="B141" s="668"/>
      <c r="C141" s="669"/>
      <c r="D141" s="45" t="s">
        <v>136</v>
      </c>
      <c r="E141" s="44" t="s">
        <v>48</v>
      </c>
      <c r="F141" s="165">
        <v>0.36</v>
      </c>
      <c r="G141" s="165">
        <v>0.55000000000000004</v>
      </c>
      <c r="H141" s="199">
        <f>8*G141*F141</f>
        <v>1.5840000000000001</v>
      </c>
    </row>
    <row r="142" spans="2:8" s="42" customFormat="1" ht="15.75" x14ac:dyDescent="0.25">
      <c r="B142" s="740" t="s">
        <v>144</v>
      </c>
      <c r="C142" s="728"/>
      <c r="D142" s="741"/>
      <c r="E142" s="741"/>
      <c r="F142" s="741"/>
      <c r="G142" s="741"/>
      <c r="H142" s="742"/>
    </row>
    <row r="143" spans="2:8" s="42" customFormat="1" ht="15.75" x14ac:dyDescent="0.25">
      <c r="B143" s="610">
        <v>5</v>
      </c>
      <c r="C143" s="430" t="s">
        <v>145</v>
      </c>
      <c r="D143" s="720" t="s">
        <v>146</v>
      </c>
      <c r="E143" s="681"/>
      <c r="F143" s="681"/>
      <c r="G143" s="721"/>
      <c r="H143" s="195" t="s">
        <v>120</v>
      </c>
    </row>
    <row r="144" spans="2:8" s="42" customFormat="1" ht="15.75" x14ac:dyDescent="0.25">
      <c r="B144" s="598" t="s">
        <v>147</v>
      </c>
      <c r="C144" s="442">
        <v>67022</v>
      </c>
      <c r="D144" s="52" t="s">
        <v>148</v>
      </c>
      <c r="E144" s="53" t="s">
        <v>17</v>
      </c>
      <c r="F144" s="169" t="s">
        <v>27</v>
      </c>
      <c r="G144" s="169" t="s">
        <v>19</v>
      </c>
      <c r="H144" s="192">
        <f>SUM(H145:H147)</f>
        <v>84.525000000000006</v>
      </c>
    </row>
    <row r="145" spans="2:8" s="42" customFormat="1" ht="15.75" x14ac:dyDescent="0.25">
      <c r="B145" s="668"/>
      <c r="C145" s="669"/>
      <c r="D145" s="45" t="s">
        <v>29</v>
      </c>
      <c r="E145" s="55" t="s">
        <v>17</v>
      </c>
      <c r="F145" s="207">
        <v>6.5</v>
      </c>
      <c r="G145" s="207">
        <v>4.9000000000000004</v>
      </c>
      <c r="H145" s="206">
        <f>G145*F145</f>
        <v>31.85</v>
      </c>
    </row>
    <row r="146" spans="2:8" s="42" customFormat="1" ht="15" x14ac:dyDescent="0.25">
      <c r="B146" s="668"/>
      <c r="C146" s="669"/>
      <c r="D146" s="45" t="s">
        <v>149</v>
      </c>
      <c r="E146" s="44" t="s">
        <v>17</v>
      </c>
      <c r="F146" s="207">
        <v>7.25</v>
      </c>
      <c r="G146" s="207">
        <v>4.9000000000000004</v>
      </c>
      <c r="H146" s="206">
        <f>G146*F146</f>
        <v>35.525000000000006</v>
      </c>
    </row>
    <row r="147" spans="2:8" s="42" customFormat="1" ht="15.75" x14ac:dyDescent="0.25">
      <c r="B147" s="668"/>
      <c r="C147" s="669"/>
      <c r="D147" s="40" t="s">
        <v>150</v>
      </c>
      <c r="E147" s="55" t="s">
        <v>17</v>
      </c>
      <c r="F147" s="207">
        <v>3.5</v>
      </c>
      <c r="G147" s="207">
        <v>4.9000000000000004</v>
      </c>
      <c r="H147" s="206">
        <f>G147*F147</f>
        <v>17.150000000000002</v>
      </c>
    </row>
    <row r="148" spans="2:8" s="42" customFormat="1" ht="15.75" x14ac:dyDescent="0.25">
      <c r="B148" s="598" t="s">
        <v>151</v>
      </c>
      <c r="C148" s="442">
        <v>60191</v>
      </c>
      <c r="D148" s="52" t="s">
        <v>152</v>
      </c>
      <c r="E148" s="53" t="s">
        <v>17</v>
      </c>
      <c r="F148" s="169" t="s">
        <v>27</v>
      </c>
      <c r="G148" s="169" t="s">
        <v>40</v>
      </c>
      <c r="H148" s="192">
        <f>SUM(H149:H151)</f>
        <v>49.559999999999995</v>
      </c>
    </row>
    <row r="149" spans="2:8" s="42" customFormat="1" ht="15" x14ac:dyDescent="0.25">
      <c r="B149" s="652"/>
      <c r="C149" s="673"/>
      <c r="D149" s="45" t="s">
        <v>28</v>
      </c>
      <c r="E149" s="44" t="s">
        <v>17</v>
      </c>
      <c r="F149" s="165">
        <v>31.4</v>
      </c>
      <c r="G149" s="165">
        <v>0.3</v>
      </c>
      <c r="H149" s="199">
        <f>G149*F149*2</f>
        <v>18.84</v>
      </c>
    </row>
    <row r="150" spans="2:8" s="42" customFormat="1" ht="15" x14ac:dyDescent="0.25">
      <c r="B150" s="654"/>
      <c r="C150" s="675"/>
      <c r="D150" s="45" t="s">
        <v>21</v>
      </c>
      <c r="E150" s="44" t="s">
        <v>17</v>
      </c>
      <c r="F150" s="165">
        <v>28.4</v>
      </c>
      <c r="G150" s="165">
        <v>0.3</v>
      </c>
      <c r="H150" s="199">
        <f>G150*F150*2</f>
        <v>17.04</v>
      </c>
    </row>
    <row r="151" spans="2:8" s="42" customFormat="1" ht="15" x14ac:dyDescent="0.25">
      <c r="B151" s="654"/>
      <c r="C151" s="675"/>
      <c r="D151" s="45" t="s">
        <v>22</v>
      </c>
      <c r="E151" s="44" t="s">
        <v>17</v>
      </c>
      <c r="F151" s="165">
        <v>22.8</v>
      </c>
      <c r="G151" s="165">
        <v>0.3</v>
      </c>
      <c r="H151" s="199">
        <f>G151*F151*2</f>
        <v>13.68</v>
      </c>
    </row>
    <row r="152" spans="2:8" s="42" customFormat="1" ht="15.75" x14ac:dyDescent="0.25">
      <c r="B152" s="598" t="s">
        <v>153</v>
      </c>
      <c r="C152" s="442">
        <v>60305</v>
      </c>
      <c r="D152" s="52" t="s">
        <v>154</v>
      </c>
      <c r="E152" s="53" t="s">
        <v>155</v>
      </c>
      <c r="F152" s="169" t="s">
        <v>27</v>
      </c>
      <c r="G152" s="169" t="s">
        <v>128</v>
      </c>
      <c r="H152" s="192">
        <f>SUM(H153:H174)</f>
        <v>589.42500000000007</v>
      </c>
    </row>
    <row r="153" spans="2:8" s="42" customFormat="1" ht="15" x14ac:dyDescent="0.25">
      <c r="B153" s="652"/>
      <c r="C153" s="673"/>
      <c r="D153" s="45" t="s">
        <v>156</v>
      </c>
      <c r="E153" s="44" t="s">
        <v>155</v>
      </c>
      <c r="F153" s="165">
        <v>60</v>
      </c>
      <c r="G153" s="165">
        <v>0.4</v>
      </c>
      <c r="H153" s="199">
        <f>G153*F153</f>
        <v>24</v>
      </c>
    </row>
    <row r="154" spans="2:8" s="42" customFormat="1" ht="15" x14ac:dyDescent="0.25">
      <c r="B154" s="654"/>
      <c r="C154" s="675"/>
      <c r="D154" s="45" t="s">
        <v>157</v>
      </c>
      <c r="E154" s="44" t="s">
        <v>155</v>
      </c>
      <c r="F154" s="165">
        <v>60</v>
      </c>
      <c r="G154" s="165">
        <v>0.4</v>
      </c>
      <c r="H154" s="199">
        <f>G154*F154</f>
        <v>24</v>
      </c>
    </row>
    <row r="155" spans="2:8" s="42" customFormat="1" ht="15" x14ac:dyDescent="0.25">
      <c r="B155" s="654"/>
      <c r="C155" s="675"/>
      <c r="D155" s="45" t="s">
        <v>158</v>
      </c>
      <c r="E155" s="44" t="s">
        <v>155</v>
      </c>
      <c r="F155" s="165">
        <v>57</v>
      </c>
      <c r="G155" s="165">
        <v>0.4</v>
      </c>
      <c r="H155" s="199">
        <f t="shared" ref="H155:H174" si="2">G155*F155</f>
        <v>22.8</v>
      </c>
    </row>
    <row r="156" spans="2:8" s="42" customFormat="1" ht="15" x14ac:dyDescent="0.25">
      <c r="B156" s="654"/>
      <c r="C156" s="675"/>
      <c r="D156" s="45" t="s">
        <v>159</v>
      </c>
      <c r="E156" s="44" t="s">
        <v>155</v>
      </c>
      <c r="F156" s="165">
        <v>57</v>
      </c>
      <c r="G156" s="165">
        <v>0.4</v>
      </c>
      <c r="H156" s="199">
        <f t="shared" si="2"/>
        <v>22.8</v>
      </c>
    </row>
    <row r="157" spans="2:8" s="42" customFormat="1" ht="15" x14ac:dyDescent="0.25">
      <c r="B157" s="654"/>
      <c r="C157" s="675"/>
      <c r="D157" s="45" t="s">
        <v>160</v>
      </c>
      <c r="E157" s="44" t="s">
        <v>155</v>
      </c>
      <c r="F157" s="165">
        <v>65</v>
      </c>
      <c r="G157" s="165">
        <v>0.4</v>
      </c>
      <c r="H157" s="199">
        <f t="shared" si="2"/>
        <v>26</v>
      </c>
    </row>
    <row r="158" spans="2:8" s="42" customFormat="1" ht="15" x14ac:dyDescent="0.25">
      <c r="B158" s="654"/>
      <c r="C158" s="675"/>
      <c r="D158" s="45" t="s">
        <v>161</v>
      </c>
      <c r="E158" s="44" t="s">
        <v>155</v>
      </c>
      <c r="F158" s="165">
        <v>65</v>
      </c>
      <c r="G158" s="165">
        <v>0.4</v>
      </c>
      <c r="H158" s="199">
        <f t="shared" si="2"/>
        <v>26</v>
      </c>
    </row>
    <row r="159" spans="2:8" s="42" customFormat="1" ht="15" x14ac:dyDescent="0.25">
      <c r="B159" s="654"/>
      <c r="C159" s="675"/>
      <c r="D159" s="45" t="s">
        <v>162</v>
      </c>
      <c r="E159" s="44" t="s">
        <v>155</v>
      </c>
      <c r="F159" s="165">
        <v>97</v>
      </c>
      <c r="G159" s="165">
        <v>0.4</v>
      </c>
      <c r="H159" s="199">
        <f t="shared" si="2"/>
        <v>38.800000000000004</v>
      </c>
    </row>
    <row r="160" spans="2:8" s="42" customFormat="1" ht="15" x14ac:dyDescent="0.25">
      <c r="B160" s="654"/>
      <c r="C160" s="675"/>
      <c r="D160" s="45" t="s">
        <v>163</v>
      </c>
      <c r="E160" s="44" t="s">
        <v>155</v>
      </c>
      <c r="F160" s="165">
        <v>80</v>
      </c>
      <c r="G160" s="165">
        <v>0.4</v>
      </c>
      <c r="H160" s="199">
        <f t="shared" si="2"/>
        <v>32</v>
      </c>
    </row>
    <row r="161" spans="2:8" s="42" customFormat="1" ht="15" x14ac:dyDescent="0.25">
      <c r="B161" s="654"/>
      <c r="C161" s="675"/>
      <c r="D161" s="45" t="s">
        <v>164</v>
      </c>
      <c r="E161" s="44" t="s">
        <v>155</v>
      </c>
      <c r="F161" s="165">
        <v>47</v>
      </c>
      <c r="G161" s="165">
        <v>0.4</v>
      </c>
      <c r="H161" s="199">
        <f t="shared" si="2"/>
        <v>18.8</v>
      </c>
    </row>
    <row r="162" spans="2:8" s="42" customFormat="1" ht="15" x14ac:dyDescent="0.25">
      <c r="B162" s="654"/>
      <c r="C162" s="675"/>
      <c r="D162" s="45" t="s">
        <v>165</v>
      </c>
      <c r="E162" s="44" t="s">
        <v>155</v>
      </c>
      <c r="F162" s="165">
        <v>20</v>
      </c>
      <c r="G162" s="165">
        <v>0.4</v>
      </c>
      <c r="H162" s="199">
        <f t="shared" si="2"/>
        <v>8</v>
      </c>
    </row>
    <row r="163" spans="2:8" s="42" customFormat="1" ht="15" x14ac:dyDescent="0.25">
      <c r="B163" s="654"/>
      <c r="C163" s="675"/>
      <c r="D163" s="45" t="s">
        <v>166</v>
      </c>
      <c r="E163" s="44" t="s">
        <v>155</v>
      </c>
      <c r="F163" s="165">
        <v>20</v>
      </c>
      <c r="G163" s="165">
        <v>0.4</v>
      </c>
      <c r="H163" s="199">
        <f t="shared" si="2"/>
        <v>8</v>
      </c>
    </row>
    <row r="164" spans="2:8" s="42" customFormat="1" ht="15" x14ac:dyDescent="0.25">
      <c r="B164" s="654"/>
      <c r="C164" s="675"/>
      <c r="D164" s="45" t="s">
        <v>167</v>
      </c>
      <c r="E164" s="44" t="s">
        <v>155</v>
      </c>
      <c r="F164" s="165">
        <v>35</v>
      </c>
      <c r="G164" s="165">
        <v>0.4</v>
      </c>
      <c r="H164" s="199">
        <f t="shared" si="2"/>
        <v>14</v>
      </c>
    </row>
    <row r="165" spans="2:8" s="42" customFormat="1" ht="15" x14ac:dyDescent="0.25">
      <c r="B165" s="654"/>
      <c r="C165" s="675"/>
      <c r="D165" s="45" t="s">
        <v>168</v>
      </c>
      <c r="E165" s="44" t="s">
        <v>155</v>
      </c>
      <c r="F165" s="165">
        <v>54</v>
      </c>
      <c r="G165" s="165">
        <v>0.4</v>
      </c>
      <c r="H165" s="199">
        <f t="shared" si="2"/>
        <v>21.6</v>
      </c>
    </row>
    <row r="166" spans="2:8" s="42" customFormat="1" ht="15" x14ac:dyDescent="0.25">
      <c r="B166" s="654"/>
      <c r="C166" s="675"/>
      <c r="D166" s="45" t="s">
        <v>169</v>
      </c>
      <c r="E166" s="44" t="s">
        <v>155</v>
      </c>
      <c r="F166" s="165">
        <v>26</v>
      </c>
      <c r="G166" s="165">
        <v>0.4</v>
      </c>
      <c r="H166" s="199">
        <f t="shared" si="2"/>
        <v>10.4</v>
      </c>
    </row>
    <row r="167" spans="2:8" s="42" customFormat="1" ht="15" x14ac:dyDescent="0.25">
      <c r="B167" s="654"/>
      <c r="C167" s="675"/>
      <c r="D167" s="45" t="s">
        <v>170</v>
      </c>
      <c r="E167" s="44" t="s">
        <v>155</v>
      </c>
      <c r="F167" s="165">
        <f t="shared" ref="F167" si="3">0.15*0.3</f>
        <v>4.4999999999999998E-2</v>
      </c>
      <c r="G167" s="165">
        <v>5</v>
      </c>
      <c r="H167" s="199">
        <f t="shared" si="2"/>
        <v>0.22499999999999998</v>
      </c>
    </row>
    <row r="168" spans="2:8" s="42" customFormat="1" ht="15" x14ac:dyDescent="0.25">
      <c r="B168" s="654"/>
      <c r="C168" s="675"/>
      <c r="D168" s="45" t="s">
        <v>171</v>
      </c>
      <c r="E168" s="44" t="s">
        <v>155</v>
      </c>
      <c r="F168" s="165">
        <v>35</v>
      </c>
      <c r="G168" s="165">
        <v>0.4</v>
      </c>
      <c r="H168" s="199">
        <f t="shared" si="2"/>
        <v>14</v>
      </c>
    </row>
    <row r="169" spans="2:8" s="42" customFormat="1" ht="15" x14ac:dyDescent="0.25">
      <c r="B169" s="654"/>
      <c r="C169" s="675"/>
      <c r="D169" s="45" t="s">
        <v>172</v>
      </c>
      <c r="E169" s="44" t="s">
        <v>155</v>
      </c>
      <c r="F169" s="165">
        <v>11</v>
      </c>
      <c r="G169" s="165">
        <v>0.4</v>
      </c>
      <c r="H169" s="199">
        <f t="shared" si="2"/>
        <v>4.4000000000000004</v>
      </c>
    </row>
    <row r="170" spans="2:8" s="42" customFormat="1" ht="15" x14ac:dyDescent="0.25">
      <c r="B170" s="654"/>
      <c r="C170" s="675"/>
      <c r="D170" s="45" t="s">
        <v>173</v>
      </c>
      <c r="E170" s="44" t="s">
        <v>155</v>
      </c>
      <c r="F170" s="165">
        <v>144</v>
      </c>
      <c r="G170" s="165">
        <v>0.4</v>
      </c>
      <c r="H170" s="199">
        <f t="shared" si="2"/>
        <v>57.6</v>
      </c>
    </row>
    <row r="171" spans="2:8" s="42" customFormat="1" ht="15" x14ac:dyDescent="0.25">
      <c r="B171" s="654"/>
      <c r="C171" s="675"/>
      <c r="D171" s="45" t="s">
        <v>174</v>
      </c>
      <c r="E171" s="44" t="s">
        <v>155</v>
      </c>
      <c r="F171" s="165">
        <v>240</v>
      </c>
      <c r="G171" s="165">
        <v>0.4</v>
      </c>
      <c r="H171" s="199">
        <f t="shared" si="2"/>
        <v>96</v>
      </c>
    </row>
    <row r="172" spans="2:8" s="42" customFormat="1" ht="15" x14ac:dyDescent="0.25">
      <c r="B172" s="654"/>
      <c r="C172" s="675"/>
      <c r="D172" s="45" t="s">
        <v>175</v>
      </c>
      <c r="E172" s="44" t="s">
        <v>155</v>
      </c>
      <c r="F172" s="165">
        <v>200</v>
      </c>
      <c r="G172" s="165">
        <v>0.4</v>
      </c>
      <c r="H172" s="199">
        <f t="shared" si="2"/>
        <v>80</v>
      </c>
    </row>
    <row r="173" spans="2:8" s="42" customFormat="1" ht="15" x14ac:dyDescent="0.25">
      <c r="B173" s="654"/>
      <c r="C173" s="675"/>
      <c r="D173" s="45" t="s">
        <v>176</v>
      </c>
      <c r="E173" s="44" t="s">
        <v>155</v>
      </c>
      <c r="F173" s="165">
        <v>52</v>
      </c>
      <c r="G173" s="165">
        <v>0.4</v>
      </c>
      <c r="H173" s="199">
        <f t="shared" si="2"/>
        <v>20.8</v>
      </c>
    </row>
    <row r="174" spans="2:8" s="42" customFormat="1" ht="15" x14ac:dyDescent="0.25">
      <c r="B174" s="654"/>
      <c r="C174" s="675"/>
      <c r="D174" s="45" t="s">
        <v>177</v>
      </c>
      <c r="E174" s="44" t="s">
        <v>155</v>
      </c>
      <c r="F174" s="165">
        <v>48</v>
      </c>
      <c r="G174" s="165">
        <v>0.4</v>
      </c>
      <c r="H174" s="199">
        <f t="shared" si="2"/>
        <v>19.200000000000003</v>
      </c>
    </row>
    <row r="175" spans="2:8" s="42" customFormat="1" ht="15.75" x14ac:dyDescent="0.25">
      <c r="B175" s="598" t="s">
        <v>178</v>
      </c>
      <c r="C175" s="611">
        <v>60314</v>
      </c>
      <c r="D175" s="52" t="s">
        <v>179</v>
      </c>
      <c r="E175" s="53" t="s">
        <v>155</v>
      </c>
      <c r="F175" s="169" t="s">
        <v>27</v>
      </c>
      <c r="G175" s="169" t="s">
        <v>128</v>
      </c>
      <c r="H175" s="192">
        <f>SUM(H176:H198)</f>
        <v>336.22500000000008</v>
      </c>
    </row>
    <row r="176" spans="2:8" s="42" customFormat="1" ht="15" x14ac:dyDescent="0.25">
      <c r="B176" s="652"/>
      <c r="C176" s="673"/>
      <c r="D176" s="45" t="s">
        <v>156</v>
      </c>
      <c r="E176" s="44" t="s">
        <v>155</v>
      </c>
      <c r="F176" s="165">
        <v>100</v>
      </c>
      <c r="G176" s="165">
        <v>0.16</v>
      </c>
      <c r="H176" s="199">
        <f>G176*F176</f>
        <v>16</v>
      </c>
    </row>
    <row r="177" spans="2:8" s="42" customFormat="1" ht="15" x14ac:dyDescent="0.25">
      <c r="B177" s="654"/>
      <c r="C177" s="675"/>
      <c r="D177" s="45" t="s">
        <v>157</v>
      </c>
      <c r="E177" s="44" t="s">
        <v>155</v>
      </c>
      <c r="F177" s="165">
        <v>100</v>
      </c>
      <c r="G177" s="165">
        <v>0.16</v>
      </c>
      <c r="H177" s="199">
        <f t="shared" ref="H177:H192" si="4">G177*F177</f>
        <v>16</v>
      </c>
    </row>
    <row r="178" spans="2:8" s="42" customFormat="1" ht="15" x14ac:dyDescent="0.25">
      <c r="B178" s="654"/>
      <c r="C178" s="675"/>
      <c r="D178" s="45" t="s">
        <v>158</v>
      </c>
      <c r="E178" s="44" t="s">
        <v>155</v>
      </c>
      <c r="F178" s="165">
        <v>43</v>
      </c>
      <c r="G178" s="165">
        <v>0.16</v>
      </c>
      <c r="H178" s="199">
        <f t="shared" si="4"/>
        <v>6.88</v>
      </c>
    </row>
    <row r="179" spans="2:8" s="42" customFormat="1" ht="15" x14ac:dyDescent="0.25">
      <c r="B179" s="654"/>
      <c r="C179" s="675"/>
      <c r="D179" s="45" t="s">
        <v>159</v>
      </c>
      <c r="E179" s="44" t="s">
        <v>155</v>
      </c>
      <c r="F179" s="165">
        <v>43</v>
      </c>
      <c r="G179" s="165">
        <v>0.16</v>
      </c>
      <c r="H179" s="199">
        <f t="shared" si="4"/>
        <v>6.88</v>
      </c>
    </row>
    <row r="180" spans="2:8" s="42" customFormat="1" ht="15" x14ac:dyDescent="0.25">
      <c r="B180" s="654"/>
      <c r="C180" s="675"/>
      <c r="D180" s="45" t="s">
        <v>160</v>
      </c>
      <c r="E180" s="44" t="s">
        <v>155</v>
      </c>
      <c r="F180" s="165">
        <v>73</v>
      </c>
      <c r="G180" s="165">
        <v>0.16</v>
      </c>
      <c r="H180" s="199">
        <f t="shared" si="4"/>
        <v>11.68</v>
      </c>
    </row>
    <row r="181" spans="2:8" s="42" customFormat="1" ht="15" x14ac:dyDescent="0.25">
      <c r="B181" s="654"/>
      <c r="C181" s="675"/>
      <c r="D181" s="45" t="s">
        <v>161</v>
      </c>
      <c r="E181" s="44" t="s">
        <v>155</v>
      </c>
      <c r="F181" s="165">
        <v>73</v>
      </c>
      <c r="G181" s="165">
        <v>0.16</v>
      </c>
      <c r="H181" s="199">
        <f t="shared" si="4"/>
        <v>11.68</v>
      </c>
    </row>
    <row r="182" spans="2:8" s="42" customFormat="1" ht="15" x14ac:dyDescent="0.25">
      <c r="B182" s="654"/>
      <c r="C182" s="675"/>
      <c r="D182" s="45" t="s">
        <v>162</v>
      </c>
      <c r="E182" s="44" t="s">
        <v>155</v>
      </c>
      <c r="F182" s="165">
        <v>119</v>
      </c>
      <c r="G182" s="165">
        <v>0.16</v>
      </c>
      <c r="H182" s="199">
        <f t="shared" si="4"/>
        <v>19.04</v>
      </c>
    </row>
    <row r="183" spans="2:8" s="42" customFormat="1" ht="15" x14ac:dyDescent="0.25">
      <c r="B183" s="654"/>
      <c r="C183" s="675"/>
      <c r="D183" s="45" t="s">
        <v>163</v>
      </c>
      <c r="E183" s="44" t="s">
        <v>155</v>
      </c>
      <c r="F183" s="165">
        <v>92</v>
      </c>
      <c r="G183" s="165">
        <v>0.16</v>
      </c>
      <c r="H183" s="199">
        <f t="shared" si="4"/>
        <v>14.72</v>
      </c>
    </row>
    <row r="184" spans="2:8" s="42" customFormat="1" ht="15" x14ac:dyDescent="0.25">
      <c r="B184" s="654"/>
      <c r="C184" s="675"/>
      <c r="D184" s="45" t="s">
        <v>164</v>
      </c>
      <c r="E184" s="44" t="s">
        <v>155</v>
      </c>
      <c r="F184" s="165">
        <v>53</v>
      </c>
      <c r="G184" s="165">
        <v>0.16</v>
      </c>
      <c r="H184" s="199">
        <f t="shared" si="4"/>
        <v>8.48</v>
      </c>
    </row>
    <row r="185" spans="2:8" s="42" customFormat="1" ht="15" x14ac:dyDescent="0.25">
      <c r="B185" s="654"/>
      <c r="C185" s="675"/>
      <c r="D185" s="45" t="s">
        <v>165</v>
      </c>
      <c r="E185" s="44" t="s">
        <v>155</v>
      </c>
      <c r="F185" s="165">
        <v>21</v>
      </c>
      <c r="G185" s="165">
        <v>0.16</v>
      </c>
      <c r="H185" s="199">
        <f t="shared" si="4"/>
        <v>3.36</v>
      </c>
    </row>
    <row r="186" spans="2:8" s="42" customFormat="1" ht="15" x14ac:dyDescent="0.25">
      <c r="B186" s="654"/>
      <c r="C186" s="675"/>
      <c r="D186" s="45" t="s">
        <v>166</v>
      </c>
      <c r="E186" s="44" t="s">
        <v>155</v>
      </c>
      <c r="F186" s="165">
        <v>21</v>
      </c>
      <c r="G186" s="165">
        <v>0.16</v>
      </c>
      <c r="H186" s="199">
        <f t="shared" si="4"/>
        <v>3.36</v>
      </c>
    </row>
    <row r="187" spans="2:8" s="42" customFormat="1" ht="15" x14ac:dyDescent="0.25">
      <c r="B187" s="654"/>
      <c r="C187" s="675"/>
      <c r="D187" s="45" t="s">
        <v>167</v>
      </c>
      <c r="E187" s="44" t="s">
        <v>155</v>
      </c>
      <c r="F187" s="165">
        <v>43</v>
      </c>
      <c r="G187" s="165">
        <v>0.16</v>
      </c>
      <c r="H187" s="199">
        <f t="shared" si="4"/>
        <v>6.88</v>
      </c>
    </row>
    <row r="188" spans="2:8" s="42" customFormat="1" ht="15" x14ac:dyDescent="0.25">
      <c r="B188" s="654"/>
      <c r="C188" s="675"/>
      <c r="D188" s="45" t="s">
        <v>180</v>
      </c>
      <c r="E188" s="44" t="s">
        <v>155</v>
      </c>
      <c r="F188" s="165">
        <v>59</v>
      </c>
      <c r="G188" s="165">
        <v>0.16</v>
      </c>
      <c r="H188" s="199">
        <f t="shared" si="4"/>
        <v>9.44</v>
      </c>
    </row>
    <row r="189" spans="2:8" s="42" customFormat="1" ht="15" x14ac:dyDescent="0.25">
      <c r="B189" s="654"/>
      <c r="C189" s="655"/>
      <c r="D189" s="348" t="s">
        <v>181</v>
      </c>
      <c r="E189" s="44" t="s">
        <v>155</v>
      </c>
      <c r="F189" s="165">
        <v>28</v>
      </c>
      <c r="G189" s="165">
        <v>0.16</v>
      </c>
      <c r="H189" s="199">
        <f t="shared" si="4"/>
        <v>4.4800000000000004</v>
      </c>
    </row>
    <row r="190" spans="2:8" s="42" customFormat="1" ht="15" x14ac:dyDescent="0.25">
      <c r="B190" s="654"/>
      <c r="C190" s="675"/>
      <c r="D190" s="45" t="s">
        <v>170</v>
      </c>
      <c r="E190" s="44" t="s">
        <v>155</v>
      </c>
      <c r="F190" s="165">
        <f t="shared" ref="F190" si="5">0.15*0.3</f>
        <v>4.4999999999999998E-2</v>
      </c>
      <c r="G190" s="165">
        <v>5</v>
      </c>
      <c r="H190" s="199">
        <f t="shared" si="4"/>
        <v>0.22499999999999998</v>
      </c>
    </row>
    <row r="191" spans="2:8" s="42" customFormat="1" ht="15" x14ac:dyDescent="0.25">
      <c r="B191" s="654"/>
      <c r="C191" s="675"/>
      <c r="D191" s="45" t="s">
        <v>171</v>
      </c>
      <c r="E191" s="44" t="s">
        <v>155</v>
      </c>
      <c r="F191" s="165">
        <v>78</v>
      </c>
      <c r="G191" s="165">
        <v>0.16</v>
      </c>
      <c r="H191" s="199">
        <f t="shared" si="4"/>
        <v>12.48</v>
      </c>
    </row>
    <row r="192" spans="2:8" s="42" customFormat="1" ht="15" x14ac:dyDescent="0.25">
      <c r="B192" s="654"/>
      <c r="C192" s="675"/>
      <c r="D192" s="45" t="s">
        <v>172</v>
      </c>
      <c r="E192" s="44" t="s">
        <v>155</v>
      </c>
      <c r="F192" s="165">
        <v>49</v>
      </c>
      <c r="G192" s="165">
        <v>0.16</v>
      </c>
      <c r="H192" s="199">
        <f t="shared" si="4"/>
        <v>7.84</v>
      </c>
    </row>
    <row r="193" spans="2:8" s="42" customFormat="1" ht="15" x14ac:dyDescent="0.25">
      <c r="B193" s="654"/>
      <c r="C193" s="675"/>
      <c r="D193" s="45" t="s">
        <v>182</v>
      </c>
      <c r="E193" s="44" t="s">
        <v>155</v>
      </c>
      <c r="F193" s="165">
        <v>118</v>
      </c>
      <c r="G193" s="165">
        <v>0.16</v>
      </c>
      <c r="H193" s="199">
        <f t="shared" ref="H193:H198" si="6">G193*F193</f>
        <v>18.88</v>
      </c>
    </row>
    <row r="194" spans="2:8" s="42" customFormat="1" ht="15" x14ac:dyDescent="0.25">
      <c r="B194" s="654"/>
      <c r="C194" s="675"/>
      <c r="D194" s="45" t="s">
        <v>173</v>
      </c>
      <c r="E194" s="44" t="s">
        <v>155</v>
      </c>
      <c r="F194" s="165">
        <v>155</v>
      </c>
      <c r="G194" s="165">
        <v>0.16</v>
      </c>
      <c r="H194" s="199">
        <f t="shared" si="6"/>
        <v>24.8</v>
      </c>
    </row>
    <row r="195" spans="2:8" s="42" customFormat="1" ht="15" x14ac:dyDescent="0.25">
      <c r="B195" s="654"/>
      <c r="C195" s="675"/>
      <c r="D195" s="45" t="s">
        <v>174</v>
      </c>
      <c r="E195" s="44" t="s">
        <v>155</v>
      </c>
      <c r="F195" s="165">
        <v>386</v>
      </c>
      <c r="G195" s="165">
        <v>0.16</v>
      </c>
      <c r="H195" s="199">
        <f t="shared" si="6"/>
        <v>61.76</v>
      </c>
    </row>
    <row r="196" spans="2:8" s="42" customFormat="1" ht="15" x14ac:dyDescent="0.25">
      <c r="B196" s="654"/>
      <c r="C196" s="675"/>
      <c r="D196" s="45" t="s">
        <v>175</v>
      </c>
      <c r="E196" s="44" t="s">
        <v>155</v>
      </c>
      <c r="F196" s="165">
        <v>294</v>
      </c>
      <c r="G196" s="165">
        <v>0.16</v>
      </c>
      <c r="H196" s="199">
        <f t="shared" si="6"/>
        <v>47.04</v>
      </c>
    </row>
    <row r="197" spans="2:8" s="42" customFormat="1" ht="15" x14ac:dyDescent="0.25">
      <c r="B197" s="654"/>
      <c r="C197" s="675"/>
      <c r="D197" s="45" t="s">
        <v>176</v>
      </c>
      <c r="E197" s="44" t="s">
        <v>155</v>
      </c>
      <c r="F197" s="165">
        <v>76</v>
      </c>
      <c r="G197" s="165">
        <v>0.16</v>
      </c>
      <c r="H197" s="199">
        <f t="shared" si="6"/>
        <v>12.16</v>
      </c>
    </row>
    <row r="198" spans="2:8" s="42" customFormat="1" ht="15" x14ac:dyDescent="0.25">
      <c r="B198" s="654"/>
      <c r="C198" s="675"/>
      <c r="D198" s="45" t="s">
        <v>177</v>
      </c>
      <c r="E198" s="44" t="s">
        <v>155</v>
      </c>
      <c r="F198" s="165">
        <v>76</v>
      </c>
      <c r="G198" s="165">
        <v>0.16</v>
      </c>
      <c r="H198" s="199">
        <f t="shared" si="6"/>
        <v>12.16</v>
      </c>
    </row>
    <row r="199" spans="2:8" s="42" customFormat="1" ht="15.75" x14ac:dyDescent="0.25">
      <c r="B199" s="598" t="s">
        <v>183</v>
      </c>
      <c r="C199" s="442">
        <v>60517</v>
      </c>
      <c r="D199" s="52" t="s">
        <v>184</v>
      </c>
      <c r="E199" s="53" t="s">
        <v>48</v>
      </c>
      <c r="F199" s="169" t="s">
        <v>185</v>
      </c>
      <c r="G199" s="169" t="s">
        <v>27</v>
      </c>
      <c r="H199" s="192">
        <f>SUM(H200:H220)</f>
        <v>14.499149999999998</v>
      </c>
    </row>
    <row r="200" spans="2:8" s="42" customFormat="1" ht="15" x14ac:dyDescent="0.25">
      <c r="B200" s="652"/>
      <c r="C200" s="673"/>
      <c r="D200" s="45" t="s">
        <v>156</v>
      </c>
      <c r="E200" s="44" t="s">
        <v>48</v>
      </c>
      <c r="F200" s="165">
        <f>0.15*0.3</f>
        <v>4.4999999999999998E-2</v>
      </c>
      <c r="G200" s="165">
        <f>6.3*2+4.7*2</f>
        <v>22</v>
      </c>
      <c r="H200" s="199">
        <f>G200*F200</f>
        <v>0.99</v>
      </c>
    </row>
    <row r="201" spans="2:8" s="42" customFormat="1" ht="15" x14ac:dyDescent="0.25">
      <c r="B201" s="654"/>
      <c r="C201" s="675"/>
      <c r="D201" s="45" t="s">
        <v>157</v>
      </c>
      <c r="E201" s="44" t="s">
        <v>48</v>
      </c>
      <c r="F201" s="165">
        <f t="shared" ref="F201:F215" si="7">0.15*0.3</f>
        <v>4.4999999999999998E-2</v>
      </c>
      <c r="G201" s="165">
        <f>6.3*2+4.7*2</f>
        <v>22</v>
      </c>
      <c r="H201" s="199">
        <f t="shared" ref="H201:H220" si="8">G201*F201</f>
        <v>0.99</v>
      </c>
    </row>
    <row r="202" spans="2:8" s="42" customFormat="1" ht="15" x14ac:dyDescent="0.25">
      <c r="B202" s="654"/>
      <c r="C202" s="675"/>
      <c r="D202" s="45" t="s">
        <v>158</v>
      </c>
      <c r="E202" s="44" t="s">
        <v>48</v>
      </c>
      <c r="F202" s="165">
        <f t="shared" si="7"/>
        <v>4.4999999999999998E-2</v>
      </c>
      <c r="G202" s="165">
        <f>4.75*2+4.7</f>
        <v>14.2</v>
      </c>
      <c r="H202" s="199">
        <f t="shared" si="8"/>
        <v>0.6389999999999999</v>
      </c>
    </row>
    <row r="203" spans="2:8" s="42" customFormat="1" ht="15" x14ac:dyDescent="0.25">
      <c r="B203" s="654"/>
      <c r="C203" s="675"/>
      <c r="D203" s="45" t="s">
        <v>159</v>
      </c>
      <c r="E203" s="44" t="s">
        <v>48</v>
      </c>
      <c r="F203" s="165">
        <f t="shared" si="7"/>
        <v>4.4999999999999998E-2</v>
      </c>
      <c r="G203" s="165">
        <f>4.75*2+4.7</f>
        <v>14.2</v>
      </c>
      <c r="H203" s="199">
        <f t="shared" si="8"/>
        <v>0.6389999999999999</v>
      </c>
    </row>
    <row r="204" spans="2:8" s="42" customFormat="1" ht="15" x14ac:dyDescent="0.25">
      <c r="B204" s="654"/>
      <c r="C204" s="675"/>
      <c r="D204" s="45" t="s">
        <v>160</v>
      </c>
      <c r="E204" s="44" t="s">
        <v>48</v>
      </c>
      <c r="F204" s="165">
        <f t="shared" si="7"/>
        <v>4.4999999999999998E-2</v>
      </c>
      <c r="G204" s="165">
        <f>4.9*2+6.5</f>
        <v>16.3</v>
      </c>
      <c r="H204" s="199">
        <f t="shared" si="8"/>
        <v>0.73350000000000004</v>
      </c>
    </row>
    <row r="205" spans="2:8" s="42" customFormat="1" ht="15" x14ac:dyDescent="0.25">
      <c r="B205" s="654"/>
      <c r="C205" s="675"/>
      <c r="D205" s="45" t="s">
        <v>161</v>
      </c>
      <c r="E205" s="44" t="s">
        <v>48</v>
      </c>
      <c r="F205" s="165">
        <f t="shared" si="7"/>
        <v>4.4999999999999998E-2</v>
      </c>
      <c r="G205" s="165">
        <f>4.9*2+6.5</f>
        <v>16.3</v>
      </c>
      <c r="H205" s="199">
        <f t="shared" si="8"/>
        <v>0.73350000000000004</v>
      </c>
    </row>
    <row r="206" spans="2:8" s="42" customFormat="1" ht="15" x14ac:dyDescent="0.25">
      <c r="B206" s="654"/>
      <c r="C206" s="675"/>
      <c r="D206" s="45" t="s">
        <v>162</v>
      </c>
      <c r="E206" s="44" t="s">
        <v>48</v>
      </c>
      <c r="F206" s="165">
        <f t="shared" si="7"/>
        <v>4.4999999999999998E-2</v>
      </c>
      <c r="G206" s="165">
        <f>7.25*2+4.9*2</f>
        <v>24.3</v>
      </c>
      <c r="H206" s="199">
        <f t="shared" si="8"/>
        <v>1.0934999999999999</v>
      </c>
    </row>
    <row r="207" spans="2:8" s="42" customFormat="1" ht="15" x14ac:dyDescent="0.25">
      <c r="B207" s="654"/>
      <c r="C207" s="675"/>
      <c r="D207" s="45" t="s">
        <v>163</v>
      </c>
      <c r="E207" s="44" t="s">
        <v>48</v>
      </c>
      <c r="F207" s="165">
        <f t="shared" si="7"/>
        <v>4.4999999999999998E-2</v>
      </c>
      <c r="G207" s="165">
        <f>9.4+5.25*2</f>
        <v>19.899999999999999</v>
      </c>
      <c r="H207" s="199">
        <f t="shared" si="8"/>
        <v>0.89549999999999985</v>
      </c>
    </row>
    <row r="208" spans="2:8" s="42" customFormat="1" ht="15" x14ac:dyDescent="0.25">
      <c r="B208" s="654"/>
      <c r="C208" s="675"/>
      <c r="D208" s="45" t="s">
        <v>164</v>
      </c>
      <c r="E208" s="44" t="s">
        <v>48</v>
      </c>
      <c r="F208" s="165">
        <f t="shared" si="7"/>
        <v>4.4999999999999998E-2</v>
      </c>
      <c r="G208" s="165">
        <f>3.6*2+2.2*2</f>
        <v>11.600000000000001</v>
      </c>
      <c r="H208" s="199">
        <f t="shared" si="8"/>
        <v>0.52200000000000002</v>
      </c>
    </row>
    <row r="209" spans="2:8" s="42" customFormat="1" ht="15" x14ac:dyDescent="0.25">
      <c r="B209" s="654"/>
      <c r="C209" s="675"/>
      <c r="D209" s="45" t="s">
        <v>165</v>
      </c>
      <c r="E209" s="44" t="s">
        <v>48</v>
      </c>
      <c r="F209" s="165">
        <f t="shared" si="7"/>
        <v>4.4999999999999998E-2</v>
      </c>
      <c r="G209" s="165">
        <f>2.2+1.4*2</f>
        <v>5</v>
      </c>
      <c r="H209" s="199">
        <f t="shared" si="8"/>
        <v>0.22499999999999998</v>
      </c>
    </row>
    <row r="210" spans="2:8" s="42" customFormat="1" ht="15" x14ac:dyDescent="0.25">
      <c r="B210" s="654"/>
      <c r="C210" s="675"/>
      <c r="D210" s="45" t="s">
        <v>166</v>
      </c>
      <c r="E210" s="44" t="s">
        <v>48</v>
      </c>
      <c r="F210" s="165">
        <f t="shared" si="7"/>
        <v>4.4999999999999998E-2</v>
      </c>
      <c r="G210" s="165">
        <f>2.2+1.4*2</f>
        <v>5</v>
      </c>
      <c r="H210" s="199">
        <f t="shared" si="8"/>
        <v>0.22499999999999998</v>
      </c>
    </row>
    <row r="211" spans="2:8" s="42" customFormat="1" ht="15" x14ac:dyDescent="0.25">
      <c r="B211" s="654"/>
      <c r="C211" s="675"/>
      <c r="D211" s="45" t="s">
        <v>167</v>
      </c>
      <c r="E211" s="44" t="s">
        <v>48</v>
      </c>
      <c r="F211" s="165">
        <f t="shared" si="7"/>
        <v>4.4999999999999998E-2</v>
      </c>
      <c r="G211" s="165">
        <f>2*2+1.2*4*2</f>
        <v>13.6</v>
      </c>
      <c r="H211" s="199">
        <f t="shared" si="8"/>
        <v>0.61199999999999999</v>
      </c>
    </row>
    <row r="212" spans="2:8" s="42" customFormat="1" ht="15" x14ac:dyDescent="0.25">
      <c r="B212" s="654"/>
      <c r="C212" s="675"/>
      <c r="D212" s="45" t="s">
        <v>180</v>
      </c>
      <c r="E212" s="44" t="s">
        <v>48</v>
      </c>
      <c r="F212" s="165">
        <f t="shared" si="7"/>
        <v>4.4999999999999998E-2</v>
      </c>
      <c r="G212" s="165">
        <f>4.25*2+2.5</f>
        <v>11</v>
      </c>
      <c r="H212" s="199">
        <f t="shared" si="8"/>
        <v>0.495</v>
      </c>
    </row>
    <row r="213" spans="2:8" s="42" customFormat="1" ht="15" x14ac:dyDescent="0.25">
      <c r="B213" s="654"/>
      <c r="C213" s="675"/>
      <c r="D213" s="45" t="s">
        <v>169</v>
      </c>
      <c r="E213" s="44" t="s">
        <v>48</v>
      </c>
      <c r="F213" s="165">
        <f t="shared" si="7"/>
        <v>4.4999999999999998E-2</v>
      </c>
      <c r="G213" s="165">
        <f>2.2*2+1*2</f>
        <v>6.4</v>
      </c>
      <c r="H213" s="199">
        <f t="shared" si="8"/>
        <v>0.28799999999999998</v>
      </c>
    </row>
    <row r="214" spans="2:8" s="42" customFormat="1" ht="15" x14ac:dyDescent="0.25">
      <c r="B214" s="654"/>
      <c r="C214" s="675"/>
      <c r="D214" s="45" t="s">
        <v>186</v>
      </c>
      <c r="E214" s="44" t="s">
        <v>48</v>
      </c>
      <c r="F214" s="165">
        <f t="shared" si="7"/>
        <v>4.4999999999999998E-2</v>
      </c>
      <c r="G214" s="165">
        <v>5</v>
      </c>
      <c r="H214" s="199">
        <f t="shared" si="8"/>
        <v>0.22499999999999998</v>
      </c>
    </row>
    <row r="215" spans="2:8" s="42" customFormat="1" ht="15" x14ac:dyDescent="0.25">
      <c r="B215" s="654"/>
      <c r="C215" s="675"/>
      <c r="D215" s="45" t="s">
        <v>171</v>
      </c>
      <c r="E215" s="44" t="s">
        <v>48</v>
      </c>
      <c r="F215" s="165">
        <f t="shared" si="7"/>
        <v>4.4999999999999998E-2</v>
      </c>
      <c r="G215" s="165">
        <f>8.77</f>
        <v>8.77</v>
      </c>
      <c r="H215" s="199">
        <f t="shared" si="8"/>
        <v>0.39464999999999995</v>
      </c>
    </row>
    <row r="216" spans="2:8" s="42" customFormat="1" ht="15" x14ac:dyDescent="0.25">
      <c r="B216" s="654"/>
      <c r="C216" s="675"/>
      <c r="D216" s="45" t="s">
        <v>172</v>
      </c>
      <c r="E216" s="44" t="s">
        <v>48</v>
      </c>
      <c r="F216" s="165">
        <f>0.35*0.2</f>
        <v>6.9999999999999993E-2</v>
      </c>
      <c r="G216" s="165">
        <f>1.8*6</f>
        <v>10.8</v>
      </c>
      <c r="H216" s="199">
        <f t="shared" si="8"/>
        <v>0.75600000000000001</v>
      </c>
    </row>
    <row r="217" spans="2:8" s="42" customFormat="1" ht="15" x14ac:dyDescent="0.25">
      <c r="B217" s="654"/>
      <c r="C217" s="675"/>
      <c r="D217" s="45" t="s">
        <v>173</v>
      </c>
      <c r="E217" s="44" t="s">
        <v>48</v>
      </c>
      <c r="F217" s="165">
        <f>0.15*0.3</f>
        <v>4.4999999999999998E-2</v>
      </c>
      <c r="G217" s="165">
        <f>8*3</f>
        <v>24</v>
      </c>
      <c r="H217" s="199">
        <f t="shared" si="8"/>
        <v>1.08</v>
      </c>
    </row>
    <row r="218" spans="2:8" s="42" customFormat="1" ht="15" x14ac:dyDescent="0.25">
      <c r="B218" s="654"/>
      <c r="C218" s="675"/>
      <c r="D218" s="45" t="s">
        <v>174</v>
      </c>
      <c r="E218" s="44" t="s">
        <v>48</v>
      </c>
      <c r="F218" s="165">
        <f>0.2*0.2</f>
        <v>4.0000000000000008E-2</v>
      </c>
      <c r="G218" s="165">
        <f>20*3</f>
        <v>60</v>
      </c>
      <c r="H218" s="199">
        <f t="shared" si="8"/>
        <v>2.4000000000000004</v>
      </c>
    </row>
    <row r="219" spans="2:8" s="42" customFormat="1" ht="15" x14ac:dyDescent="0.25">
      <c r="B219" s="654"/>
      <c r="C219" s="675"/>
      <c r="D219" s="45" t="s">
        <v>176</v>
      </c>
      <c r="E219" s="44" t="s">
        <v>48</v>
      </c>
      <c r="F219" s="165">
        <f>0.15*0.15</f>
        <v>2.2499999999999999E-2</v>
      </c>
      <c r="G219" s="165">
        <f>10*1.3</f>
        <v>13</v>
      </c>
      <c r="H219" s="199">
        <f t="shared" si="8"/>
        <v>0.29249999999999998</v>
      </c>
    </row>
    <row r="220" spans="2:8" s="42" customFormat="1" ht="15" x14ac:dyDescent="0.25">
      <c r="B220" s="654"/>
      <c r="C220" s="675"/>
      <c r="D220" s="45" t="s">
        <v>177</v>
      </c>
      <c r="E220" s="44" t="s">
        <v>48</v>
      </c>
      <c r="F220" s="165">
        <f>0.15*0.15</f>
        <v>2.2499999999999999E-2</v>
      </c>
      <c r="G220" s="165">
        <f>10*1.2</f>
        <v>12</v>
      </c>
      <c r="H220" s="199">
        <f t="shared" si="8"/>
        <v>0.27</v>
      </c>
    </row>
    <row r="221" spans="2:8" s="42" customFormat="1" ht="15.75" x14ac:dyDescent="0.25">
      <c r="B221" s="598" t="s">
        <v>187</v>
      </c>
      <c r="C221" s="442">
        <v>60801</v>
      </c>
      <c r="D221" s="52" t="s">
        <v>188</v>
      </c>
      <c r="E221" s="53" t="s">
        <v>48</v>
      </c>
      <c r="F221" s="169" t="s">
        <v>185</v>
      </c>
      <c r="G221" s="169" t="s">
        <v>27</v>
      </c>
      <c r="H221" s="192">
        <f>SUM(H222:H242)</f>
        <v>14.499149999999998</v>
      </c>
    </row>
    <row r="222" spans="2:8" s="42" customFormat="1" ht="15" x14ac:dyDescent="0.25">
      <c r="B222" s="652"/>
      <c r="C222" s="673"/>
      <c r="D222" s="45" t="s">
        <v>156</v>
      </c>
      <c r="E222" s="44" t="s">
        <v>48</v>
      </c>
      <c r="F222" s="165">
        <f>0.15*0.3</f>
        <v>4.4999999999999998E-2</v>
      </c>
      <c r="G222" s="165">
        <f>6.3*2+4.7*2</f>
        <v>22</v>
      </c>
      <c r="H222" s="199">
        <f>G222*F222</f>
        <v>0.99</v>
      </c>
    </row>
    <row r="223" spans="2:8" s="42" customFormat="1" ht="15" x14ac:dyDescent="0.25">
      <c r="B223" s="654"/>
      <c r="C223" s="675"/>
      <c r="D223" s="45" t="s">
        <v>157</v>
      </c>
      <c r="E223" s="44" t="s">
        <v>48</v>
      </c>
      <c r="F223" s="165">
        <f t="shared" ref="F223:F237" si="9">0.15*0.3</f>
        <v>4.4999999999999998E-2</v>
      </c>
      <c r="G223" s="165">
        <f>6.3*2+4.7*2</f>
        <v>22</v>
      </c>
      <c r="H223" s="199">
        <f t="shared" ref="H223:H242" si="10">G223*F223</f>
        <v>0.99</v>
      </c>
    </row>
    <row r="224" spans="2:8" s="42" customFormat="1" ht="15" x14ac:dyDescent="0.25">
      <c r="B224" s="654"/>
      <c r="C224" s="675"/>
      <c r="D224" s="45" t="s">
        <v>158</v>
      </c>
      <c r="E224" s="44" t="s">
        <v>48</v>
      </c>
      <c r="F224" s="165">
        <f t="shared" si="9"/>
        <v>4.4999999999999998E-2</v>
      </c>
      <c r="G224" s="165">
        <f>4.75*2+4.7</f>
        <v>14.2</v>
      </c>
      <c r="H224" s="199">
        <f t="shared" si="10"/>
        <v>0.6389999999999999</v>
      </c>
    </row>
    <row r="225" spans="2:8" s="42" customFormat="1" ht="15" x14ac:dyDescent="0.25">
      <c r="B225" s="654"/>
      <c r="C225" s="675"/>
      <c r="D225" s="45" t="s">
        <v>159</v>
      </c>
      <c r="E225" s="44" t="s">
        <v>48</v>
      </c>
      <c r="F225" s="165">
        <f t="shared" si="9"/>
        <v>4.4999999999999998E-2</v>
      </c>
      <c r="G225" s="165">
        <f>4.75*2+4.7</f>
        <v>14.2</v>
      </c>
      <c r="H225" s="199">
        <f t="shared" si="10"/>
        <v>0.6389999999999999</v>
      </c>
    </row>
    <row r="226" spans="2:8" s="42" customFormat="1" ht="15" x14ac:dyDescent="0.25">
      <c r="B226" s="654"/>
      <c r="C226" s="675"/>
      <c r="D226" s="45" t="s">
        <v>160</v>
      </c>
      <c r="E226" s="44" t="s">
        <v>48</v>
      </c>
      <c r="F226" s="165">
        <f t="shared" si="9"/>
        <v>4.4999999999999998E-2</v>
      </c>
      <c r="G226" s="165">
        <f>4.9*2+6.5</f>
        <v>16.3</v>
      </c>
      <c r="H226" s="199">
        <f t="shared" si="10"/>
        <v>0.73350000000000004</v>
      </c>
    </row>
    <row r="227" spans="2:8" s="42" customFormat="1" ht="15" x14ac:dyDescent="0.25">
      <c r="B227" s="654"/>
      <c r="C227" s="675"/>
      <c r="D227" s="45" t="s">
        <v>161</v>
      </c>
      <c r="E227" s="44" t="s">
        <v>48</v>
      </c>
      <c r="F227" s="165">
        <f t="shared" si="9"/>
        <v>4.4999999999999998E-2</v>
      </c>
      <c r="G227" s="165">
        <f>4.9*2+6.5</f>
        <v>16.3</v>
      </c>
      <c r="H227" s="199">
        <f t="shared" si="10"/>
        <v>0.73350000000000004</v>
      </c>
    </row>
    <row r="228" spans="2:8" s="42" customFormat="1" ht="15" x14ac:dyDescent="0.25">
      <c r="B228" s="654"/>
      <c r="C228" s="675"/>
      <c r="D228" s="45" t="s">
        <v>162</v>
      </c>
      <c r="E228" s="44" t="s">
        <v>48</v>
      </c>
      <c r="F228" s="165">
        <f t="shared" si="9"/>
        <v>4.4999999999999998E-2</v>
      </c>
      <c r="G228" s="165">
        <f>7.25*2+4.9*2</f>
        <v>24.3</v>
      </c>
      <c r="H228" s="199">
        <f t="shared" si="10"/>
        <v>1.0934999999999999</v>
      </c>
    </row>
    <row r="229" spans="2:8" s="42" customFormat="1" ht="15" x14ac:dyDescent="0.25">
      <c r="B229" s="654"/>
      <c r="C229" s="675"/>
      <c r="D229" s="45" t="s">
        <v>163</v>
      </c>
      <c r="E229" s="44" t="s">
        <v>48</v>
      </c>
      <c r="F229" s="165">
        <f t="shared" si="9"/>
        <v>4.4999999999999998E-2</v>
      </c>
      <c r="G229" s="165">
        <f>9.4+5.25*2</f>
        <v>19.899999999999999</v>
      </c>
      <c r="H229" s="199">
        <f t="shared" si="10"/>
        <v>0.89549999999999985</v>
      </c>
    </row>
    <row r="230" spans="2:8" s="42" customFormat="1" ht="15" x14ac:dyDescent="0.25">
      <c r="B230" s="654"/>
      <c r="C230" s="675"/>
      <c r="D230" s="45" t="s">
        <v>164</v>
      </c>
      <c r="E230" s="44" t="s">
        <v>48</v>
      </c>
      <c r="F230" s="165">
        <f t="shared" si="9"/>
        <v>4.4999999999999998E-2</v>
      </c>
      <c r="G230" s="165">
        <f>3.6*2+2.2*2</f>
        <v>11.600000000000001</v>
      </c>
      <c r="H230" s="199">
        <f t="shared" si="10"/>
        <v>0.52200000000000002</v>
      </c>
    </row>
    <row r="231" spans="2:8" s="42" customFormat="1" ht="15" x14ac:dyDescent="0.25">
      <c r="B231" s="654"/>
      <c r="C231" s="675"/>
      <c r="D231" s="45" t="s">
        <v>165</v>
      </c>
      <c r="E231" s="44" t="s">
        <v>48</v>
      </c>
      <c r="F231" s="165">
        <f t="shared" si="9"/>
        <v>4.4999999999999998E-2</v>
      </c>
      <c r="G231" s="165">
        <f>2.2+1.4*2</f>
        <v>5</v>
      </c>
      <c r="H231" s="199">
        <f t="shared" si="10"/>
        <v>0.22499999999999998</v>
      </c>
    </row>
    <row r="232" spans="2:8" s="42" customFormat="1" ht="15" x14ac:dyDescent="0.25">
      <c r="B232" s="654"/>
      <c r="C232" s="675"/>
      <c r="D232" s="45" t="s">
        <v>166</v>
      </c>
      <c r="E232" s="44" t="s">
        <v>48</v>
      </c>
      <c r="F232" s="165">
        <f t="shared" si="9"/>
        <v>4.4999999999999998E-2</v>
      </c>
      <c r="G232" s="165">
        <f>2.2+1.4*2</f>
        <v>5</v>
      </c>
      <c r="H232" s="199">
        <f t="shared" si="10"/>
        <v>0.22499999999999998</v>
      </c>
    </row>
    <row r="233" spans="2:8" s="42" customFormat="1" ht="15" x14ac:dyDescent="0.25">
      <c r="B233" s="654"/>
      <c r="C233" s="675"/>
      <c r="D233" s="45" t="s">
        <v>167</v>
      </c>
      <c r="E233" s="44" t="s">
        <v>48</v>
      </c>
      <c r="F233" s="165">
        <f t="shared" si="9"/>
        <v>4.4999999999999998E-2</v>
      </c>
      <c r="G233" s="165">
        <f>2*2+1.2*4*2</f>
        <v>13.6</v>
      </c>
      <c r="H233" s="199">
        <f t="shared" si="10"/>
        <v>0.61199999999999999</v>
      </c>
    </row>
    <row r="234" spans="2:8" s="42" customFormat="1" ht="15" x14ac:dyDescent="0.25">
      <c r="B234" s="654"/>
      <c r="C234" s="675"/>
      <c r="D234" s="45" t="s">
        <v>180</v>
      </c>
      <c r="E234" s="44" t="s">
        <v>48</v>
      </c>
      <c r="F234" s="165">
        <f t="shared" si="9"/>
        <v>4.4999999999999998E-2</v>
      </c>
      <c r="G234" s="165">
        <f>4.25*2+2.5</f>
        <v>11</v>
      </c>
      <c r="H234" s="199">
        <f t="shared" si="10"/>
        <v>0.495</v>
      </c>
    </row>
    <row r="235" spans="2:8" s="42" customFormat="1" ht="15" x14ac:dyDescent="0.25">
      <c r="B235" s="654"/>
      <c r="C235" s="655"/>
      <c r="D235" s="348" t="s">
        <v>189</v>
      </c>
      <c r="E235" s="44" t="s">
        <v>48</v>
      </c>
      <c r="F235" s="165">
        <f t="shared" si="9"/>
        <v>4.4999999999999998E-2</v>
      </c>
      <c r="G235" s="165">
        <f>2.2*2+1*2</f>
        <v>6.4</v>
      </c>
      <c r="H235" s="199">
        <f t="shared" si="10"/>
        <v>0.28799999999999998</v>
      </c>
    </row>
    <row r="236" spans="2:8" s="42" customFormat="1" ht="15" x14ac:dyDescent="0.25">
      <c r="B236" s="654"/>
      <c r="C236" s="675"/>
      <c r="D236" s="45" t="s">
        <v>190</v>
      </c>
      <c r="E236" s="44" t="s">
        <v>48</v>
      </c>
      <c r="F236" s="165">
        <f t="shared" si="9"/>
        <v>4.4999999999999998E-2</v>
      </c>
      <c r="G236" s="165">
        <v>5</v>
      </c>
      <c r="H236" s="199">
        <f t="shared" si="10"/>
        <v>0.22499999999999998</v>
      </c>
    </row>
    <row r="237" spans="2:8" s="42" customFormat="1" ht="15" x14ac:dyDescent="0.25">
      <c r="B237" s="654"/>
      <c r="C237" s="655"/>
      <c r="D237" s="348" t="s">
        <v>191</v>
      </c>
      <c r="E237" s="44" t="s">
        <v>48</v>
      </c>
      <c r="F237" s="165">
        <f t="shared" si="9"/>
        <v>4.4999999999999998E-2</v>
      </c>
      <c r="G237" s="165">
        <f>8.77</f>
        <v>8.77</v>
      </c>
      <c r="H237" s="199">
        <f t="shared" si="10"/>
        <v>0.39464999999999995</v>
      </c>
    </row>
    <row r="238" spans="2:8" s="42" customFormat="1" ht="15" x14ac:dyDescent="0.25">
      <c r="B238" s="654"/>
      <c r="C238" s="675"/>
      <c r="D238" s="45" t="s">
        <v>172</v>
      </c>
      <c r="E238" s="44" t="s">
        <v>48</v>
      </c>
      <c r="F238" s="165">
        <f>0.35*0.2</f>
        <v>6.9999999999999993E-2</v>
      </c>
      <c r="G238" s="165">
        <f>1.8*6</f>
        <v>10.8</v>
      </c>
      <c r="H238" s="199">
        <f t="shared" si="10"/>
        <v>0.75600000000000001</v>
      </c>
    </row>
    <row r="239" spans="2:8" s="42" customFormat="1" ht="15" x14ac:dyDescent="0.25">
      <c r="B239" s="654"/>
      <c r="C239" s="675"/>
      <c r="D239" s="45" t="s">
        <v>173</v>
      </c>
      <c r="E239" s="44" t="s">
        <v>48</v>
      </c>
      <c r="F239" s="165">
        <f>0.15*0.3</f>
        <v>4.4999999999999998E-2</v>
      </c>
      <c r="G239" s="165">
        <f>8*3</f>
        <v>24</v>
      </c>
      <c r="H239" s="199">
        <f t="shared" si="10"/>
        <v>1.08</v>
      </c>
    </row>
    <row r="240" spans="2:8" s="42" customFormat="1" ht="15" x14ac:dyDescent="0.25">
      <c r="B240" s="654"/>
      <c r="C240" s="675"/>
      <c r="D240" s="45" t="s">
        <v>174</v>
      </c>
      <c r="E240" s="44" t="s">
        <v>48</v>
      </c>
      <c r="F240" s="165">
        <f>0.2*0.2</f>
        <v>4.0000000000000008E-2</v>
      </c>
      <c r="G240" s="165">
        <f>20*3</f>
        <v>60</v>
      </c>
      <c r="H240" s="199">
        <f t="shared" si="10"/>
        <v>2.4000000000000004</v>
      </c>
    </row>
    <row r="241" spans="2:8" s="42" customFormat="1" ht="15" x14ac:dyDescent="0.25">
      <c r="B241" s="654"/>
      <c r="C241" s="675"/>
      <c r="D241" s="45" t="s">
        <v>176</v>
      </c>
      <c r="E241" s="44" t="s">
        <v>48</v>
      </c>
      <c r="F241" s="165">
        <f>0.15*0.15</f>
        <v>2.2499999999999999E-2</v>
      </c>
      <c r="G241" s="165">
        <f>10*1.3</f>
        <v>13</v>
      </c>
      <c r="H241" s="199">
        <f t="shared" si="10"/>
        <v>0.29249999999999998</v>
      </c>
    </row>
    <row r="242" spans="2:8" s="42" customFormat="1" ht="15" x14ac:dyDescent="0.25">
      <c r="B242" s="654"/>
      <c r="C242" s="675"/>
      <c r="D242" s="45" t="s">
        <v>177</v>
      </c>
      <c r="E242" s="44" t="s">
        <v>48</v>
      </c>
      <c r="F242" s="165">
        <f>0.15*0.15</f>
        <v>2.2499999999999999E-2</v>
      </c>
      <c r="G242" s="165">
        <f>10*1.2</f>
        <v>12</v>
      </c>
      <c r="H242" s="199">
        <f t="shared" si="10"/>
        <v>0.27</v>
      </c>
    </row>
    <row r="243" spans="2:8" s="42" customFormat="1" ht="15.6" customHeight="1" x14ac:dyDescent="0.25">
      <c r="B243" s="598" t="s">
        <v>192</v>
      </c>
      <c r="C243" s="442">
        <v>60209</v>
      </c>
      <c r="D243" s="52" t="s">
        <v>193</v>
      </c>
      <c r="E243" s="53" t="s">
        <v>17</v>
      </c>
      <c r="F243" s="169" t="s">
        <v>27</v>
      </c>
      <c r="G243" s="169" t="s">
        <v>58</v>
      </c>
      <c r="H243" s="192">
        <f>SUM(H244:H259)</f>
        <v>220.70399999999998</v>
      </c>
    </row>
    <row r="244" spans="2:8" s="42" customFormat="1" ht="15" x14ac:dyDescent="0.25">
      <c r="B244" s="652"/>
      <c r="C244" s="673"/>
      <c r="D244" s="45" t="s">
        <v>194</v>
      </c>
      <c r="E244" s="44" t="s">
        <v>17</v>
      </c>
      <c r="F244" s="165">
        <v>31.4</v>
      </c>
      <c r="G244" s="165">
        <v>0.3</v>
      </c>
      <c r="H244" s="199">
        <f>G244*F244*2</f>
        <v>18.84</v>
      </c>
    </row>
    <row r="245" spans="2:8" s="42" customFormat="1" ht="15" x14ac:dyDescent="0.25">
      <c r="B245" s="654"/>
      <c r="C245" s="675"/>
      <c r="D245" s="45" t="s">
        <v>195</v>
      </c>
      <c r="E245" s="44" t="s">
        <v>17</v>
      </c>
      <c r="F245" s="165">
        <v>28.4</v>
      </c>
      <c r="G245" s="165">
        <v>0.3</v>
      </c>
      <c r="H245" s="199">
        <f t="shared" ref="H245:H259" si="11">G245*F245*2</f>
        <v>17.04</v>
      </c>
    </row>
    <row r="246" spans="2:8" s="42" customFormat="1" ht="15" x14ac:dyDescent="0.25">
      <c r="B246" s="654"/>
      <c r="C246" s="675"/>
      <c r="D246" s="45" t="s">
        <v>196</v>
      </c>
      <c r="E246" s="44" t="s">
        <v>17</v>
      </c>
      <c r="F246" s="165">
        <v>22.8</v>
      </c>
      <c r="G246" s="165">
        <v>0.3</v>
      </c>
      <c r="H246" s="199">
        <f t="shared" si="11"/>
        <v>13.68</v>
      </c>
    </row>
    <row r="247" spans="2:8" s="42" customFormat="1" ht="15" x14ac:dyDescent="0.25">
      <c r="B247" s="654"/>
      <c r="C247" s="675"/>
      <c r="D247" s="45" t="s">
        <v>197</v>
      </c>
      <c r="E247" s="44" t="s">
        <v>17</v>
      </c>
      <c r="F247" s="165">
        <f>7.55*4+5.25*2</f>
        <v>40.700000000000003</v>
      </c>
      <c r="G247" s="165">
        <v>0.3</v>
      </c>
      <c r="H247" s="199">
        <f t="shared" si="11"/>
        <v>24.42</v>
      </c>
    </row>
    <row r="248" spans="2:8" s="42" customFormat="1" ht="15" x14ac:dyDescent="0.25">
      <c r="B248" s="654"/>
      <c r="C248" s="675"/>
      <c r="D248" s="45" t="s">
        <v>198</v>
      </c>
      <c r="E248" s="44" t="s">
        <v>17</v>
      </c>
      <c r="F248" s="165">
        <f>1.4*4+5.25*4</f>
        <v>26.6</v>
      </c>
      <c r="G248" s="165">
        <v>0.3</v>
      </c>
      <c r="H248" s="199">
        <f t="shared" si="11"/>
        <v>15.96</v>
      </c>
    </row>
    <row r="249" spans="2:8" s="42" customFormat="1" ht="15" x14ac:dyDescent="0.25">
      <c r="B249" s="654"/>
      <c r="C249" s="675"/>
      <c r="D249" s="45" t="s">
        <v>199</v>
      </c>
      <c r="E249" s="44" t="s">
        <v>17</v>
      </c>
      <c r="F249" s="165">
        <f>2.2*4</f>
        <v>8.8000000000000007</v>
      </c>
      <c r="G249" s="165">
        <v>0.3</v>
      </c>
      <c r="H249" s="199">
        <f t="shared" si="11"/>
        <v>5.28</v>
      </c>
    </row>
    <row r="250" spans="2:8" s="42" customFormat="1" ht="15" x14ac:dyDescent="0.25">
      <c r="B250" s="654"/>
      <c r="C250" s="675"/>
      <c r="D250" s="45" t="s">
        <v>200</v>
      </c>
      <c r="E250" s="44" t="s">
        <v>17</v>
      </c>
      <c r="F250" s="165">
        <f>2.2*2+1.4*4</f>
        <v>10</v>
      </c>
      <c r="G250" s="165">
        <v>0.3</v>
      </c>
      <c r="H250" s="199">
        <f t="shared" si="11"/>
        <v>6</v>
      </c>
    </row>
    <row r="251" spans="2:8" s="42" customFormat="1" ht="15" x14ac:dyDescent="0.25">
      <c r="B251" s="654"/>
      <c r="C251" s="675"/>
      <c r="D251" s="45" t="s">
        <v>201</v>
      </c>
      <c r="E251" s="44" t="s">
        <v>17</v>
      </c>
      <c r="F251" s="165">
        <f>2.2*4+1.4*4</f>
        <v>14.4</v>
      </c>
      <c r="G251" s="165">
        <v>0.3</v>
      </c>
      <c r="H251" s="199">
        <f t="shared" si="11"/>
        <v>8.64</v>
      </c>
    </row>
    <row r="252" spans="2:8" s="42" customFormat="1" ht="15" x14ac:dyDescent="0.25">
      <c r="B252" s="654"/>
      <c r="C252" s="675"/>
      <c r="D252" s="45" t="s">
        <v>202</v>
      </c>
      <c r="E252" s="44" t="s">
        <v>17</v>
      </c>
      <c r="F252" s="165">
        <f>1.2*4+2*4+1.2*4+2*2</f>
        <v>21.6</v>
      </c>
      <c r="G252" s="165">
        <v>0.3</v>
      </c>
      <c r="H252" s="199">
        <f t="shared" si="11"/>
        <v>12.96</v>
      </c>
    </row>
    <row r="253" spans="2:8" s="42" customFormat="1" ht="15" x14ac:dyDescent="0.25">
      <c r="B253" s="654"/>
      <c r="C253" s="675"/>
      <c r="D253" s="45" t="s">
        <v>203</v>
      </c>
      <c r="E253" s="44" t="s">
        <v>17</v>
      </c>
      <c r="F253" s="165">
        <f>4.25*4+2.5*4</f>
        <v>27</v>
      </c>
      <c r="G253" s="165">
        <v>0.3</v>
      </c>
      <c r="H253" s="199">
        <f t="shared" si="11"/>
        <v>16.2</v>
      </c>
    </row>
    <row r="254" spans="2:8" s="42" customFormat="1" ht="15" x14ac:dyDescent="0.25">
      <c r="B254" s="654"/>
      <c r="C254" s="675"/>
      <c r="D254" s="45" t="s">
        <v>204</v>
      </c>
      <c r="E254" s="44" t="s">
        <v>17</v>
      </c>
      <c r="F254" s="165">
        <f>8.77*2</f>
        <v>17.54</v>
      </c>
      <c r="G254" s="165">
        <v>0.3</v>
      </c>
      <c r="H254" s="199">
        <f t="shared" si="11"/>
        <v>10.523999999999999</v>
      </c>
    </row>
    <row r="255" spans="2:8" s="42" customFormat="1" ht="15" x14ac:dyDescent="0.25">
      <c r="B255" s="654"/>
      <c r="C255" s="675"/>
      <c r="D255" s="45" t="s">
        <v>205</v>
      </c>
      <c r="E255" s="44" t="s">
        <v>17</v>
      </c>
      <c r="F255" s="165">
        <f>1.8*6</f>
        <v>10.8</v>
      </c>
      <c r="G255" s="165">
        <v>0.35</v>
      </c>
      <c r="H255" s="199">
        <f t="shared" si="11"/>
        <v>7.56</v>
      </c>
    </row>
    <row r="256" spans="2:8" s="42" customFormat="1" ht="15" x14ac:dyDescent="0.25">
      <c r="B256" s="654"/>
      <c r="C256" s="655"/>
      <c r="D256" s="348" t="s">
        <v>206</v>
      </c>
      <c r="E256" s="44" t="s">
        <v>17</v>
      </c>
      <c r="F256" s="165">
        <f>2.2*4+4</f>
        <v>12.8</v>
      </c>
      <c r="G256" s="165">
        <v>0.3</v>
      </c>
      <c r="H256" s="199">
        <f t="shared" si="11"/>
        <v>7.68</v>
      </c>
    </row>
    <row r="257" spans="2:8" s="42" customFormat="1" ht="15" x14ac:dyDescent="0.25">
      <c r="B257" s="654"/>
      <c r="C257" s="675"/>
      <c r="D257" s="45" t="s">
        <v>207</v>
      </c>
      <c r="E257" s="44" t="s">
        <v>17</v>
      </c>
      <c r="F257" s="165">
        <v>5</v>
      </c>
      <c r="G257" s="165">
        <v>3</v>
      </c>
      <c r="H257" s="199">
        <f t="shared" si="11"/>
        <v>30</v>
      </c>
    </row>
    <row r="258" spans="2:8" s="42" customFormat="1" ht="15" x14ac:dyDescent="0.25">
      <c r="B258" s="654"/>
      <c r="C258" s="655"/>
      <c r="D258" s="348" t="s">
        <v>208</v>
      </c>
      <c r="E258" s="44" t="s">
        <v>17</v>
      </c>
      <c r="F258" s="165">
        <f>8*0.3*0.15*4</f>
        <v>1.44</v>
      </c>
      <c r="G258" s="165">
        <v>3</v>
      </c>
      <c r="H258" s="199">
        <f>G258*F258*2</f>
        <v>8.64</v>
      </c>
    </row>
    <row r="259" spans="2:8" s="42" customFormat="1" ht="15" x14ac:dyDescent="0.25">
      <c r="B259" s="656"/>
      <c r="C259" s="674"/>
      <c r="D259" s="45" t="s">
        <v>209</v>
      </c>
      <c r="E259" s="44" t="s">
        <v>17</v>
      </c>
      <c r="F259" s="165">
        <f>0.2*0.2*4*20</f>
        <v>3.2000000000000006</v>
      </c>
      <c r="G259" s="165">
        <v>2.7</v>
      </c>
      <c r="H259" s="199">
        <f t="shared" si="11"/>
        <v>17.280000000000005</v>
      </c>
    </row>
    <row r="260" spans="2:8" s="42" customFormat="1" ht="15.75" x14ac:dyDescent="0.25">
      <c r="B260" s="598" t="s">
        <v>210</v>
      </c>
      <c r="C260" s="442" t="s">
        <v>211</v>
      </c>
      <c r="D260" s="203" t="s">
        <v>212</v>
      </c>
      <c r="E260" s="322" t="s">
        <v>17</v>
      </c>
      <c r="F260" s="356" t="s">
        <v>27</v>
      </c>
      <c r="G260" s="169" t="s">
        <v>19</v>
      </c>
      <c r="H260" s="192">
        <f>SUM(H261:H273)</f>
        <v>210.00249999999997</v>
      </c>
    </row>
    <row r="261" spans="2:8" s="42" customFormat="1" ht="15" x14ac:dyDescent="0.2">
      <c r="B261" s="813"/>
      <c r="C261" s="693"/>
      <c r="D261" s="376" t="s">
        <v>213</v>
      </c>
      <c r="E261" s="532" t="s">
        <v>17</v>
      </c>
      <c r="F261" s="531">
        <v>7.55</v>
      </c>
      <c r="G261" s="243">
        <v>5.55</v>
      </c>
      <c r="H261" s="43">
        <f>G261*F261</f>
        <v>41.902499999999996</v>
      </c>
    </row>
    <row r="262" spans="2:8" s="42" customFormat="1" ht="15" x14ac:dyDescent="0.2">
      <c r="B262" s="814"/>
      <c r="C262" s="695"/>
      <c r="D262" s="376" t="s">
        <v>214</v>
      </c>
      <c r="E262" s="44" t="s">
        <v>17</v>
      </c>
      <c r="F262" s="533">
        <v>2.1</v>
      </c>
      <c r="G262" s="170">
        <v>8.8000000000000007</v>
      </c>
      <c r="H262" s="43">
        <f t="shared" ref="H262:H272" si="12">G262*F262</f>
        <v>18.480000000000004</v>
      </c>
    </row>
    <row r="263" spans="2:8" s="42" customFormat="1" ht="15" x14ac:dyDescent="0.2">
      <c r="B263" s="814"/>
      <c r="C263" s="695"/>
      <c r="D263" s="376" t="s">
        <v>215</v>
      </c>
      <c r="E263" s="44" t="s">
        <v>17</v>
      </c>
      <c r="F263" s="170">
        <v>3.5</v>
      </c>
      <c r="G263" s="170">
        <v>2.2000000000000002</v>
      </c>
      <c r="H263" s="43">
        <f t="shared" si="12"/>
        <v>7.7000000000000011</v>
      </c>
    </row>
    <row r="264" spans="2:8" s="42" customFormat="1" ht="15" x14ac:dyDescent="0.2">
      <c r="B264" s="814"/>
      <c r="C264" s="695"/>
      <c r="D264" s="376" t="s">
        <v>216</v>
      </c>
      <c r="E264" s="44" t="s">
        <v>17</v>
      </c>
      <c r="F264" s="170">
        <v>4.25</v>
      </c>
      <c r="G264" s="170">
        <v>2.5</v>
      </c>
      <c r="H264" s="43">
        <f t="shared" si="12"/>
        <v>10.625</v>
      </c>
    </row>
    <row r="265" spans="2:8" s="42" customFormat="1" ht="15" x14ac:dyDescent="0.2">
      <c r="B265" s="814"/>
      <c r="C265" s="695"/>
      <c r="D265" s="376" t="s">
        <v>217</v>
      </c>
      <c r="E265" s="44" t="s">
        <v>17</v>
      </c>
      <c r="F265" s="170">
        <v>2.85</v>
      </c>
      <c r="G265" s="170">
        <v>2.2999999999999998</v>
      </c>
      <c r="H265" s="43">
        <f t="shared" si="12"/>
        <v>6.5549999999999997</v>
      </c>
    </row>
    <row r="266" spans="2:8" s="42" customFormat="1" ht="15" x14ac:dyDescent="0.2">
      <c r="B266" s="814"/>
      <c r="C266" s="695"/>
      <c r="D266" s="376" t="s">
        <v>218</v>
      </c>
      <c r="E266" s="44" t="s">
        <v>17</v>
      </c>
      <c r="F266" s="170">
        <v>2.2000000000000002</v>
      </c>
      <c r="G266" s="170">
        <v>1.4</v>
      </c>
      <c r="H266" s="43">
        <f t="shared" si="12"/>
        <v>3.08</v>
      </c>
    </row>
    <row r="267" spans="2:8" s="42" customFormat="1" ht="15" x14ac:dyDescent="0.2">
      <c r="B267" s="814"/>
      <c r="C267" s="695"/>
      <c r="D267" s="376" t="s">
        <v>219</v>
      </c>
      <c r="E267" s="44" t="s">
        <v>17</v>
      </c>
      <c r="F267" s="170">
        <v>2.2000000000000002</v>
      </c>
      <c r="G267" s="170">
        <v>1.4</v>
      </c>
      <c r="H267" s="43">
        <f t="shared" si="12"/>
        <v>3.08</v>
      </c>
    </row>
    <row r="268" spans="2:8" s="42" customFormat="1" ht="15" x14ac:dyDescent="0.2">
      <c r="B268" s="814"/>
      <c r="C268" s="695"/>
      <c r="D268" s="376" t="s">
        <v>220</v>
      </c>
      <c r="E268" s="44" t="s">
        <v>17</v>
      </c>
      <c r="F268" s="170">
        <v>4.7</v>
      </c>
      <c r="G268" s="170">
        <v>6.3</v>
      </c>
      <c r="H268" s="43">
        <f t="shared" si="12"/>
        <v>29.61</v>
      </c>
    </row>
    <row r="269" spans="2:8" s="42" customFormat="1" ht="15" x14ac:dyDescent="0.2">
      <c r="B269" s="814"/>
      <c r="C269" s="695"/>
      <c r="D269" s="376" t="s">
        <v>221</v>
      </c>
      <c r="E269" s="44" t="s">
        <v>17</v>
      </c>
      <c r="F269" s="170">
        <v>5.52</v>
      </c>
      <c r="G269" s="170">
        <v>4.75</v>
      </c>
      <c r="H269" s="43">
        <f t="shared" si="12"/>
        <v>26.22</v>
      </c>
    </row>
    <row r="270" spans="2:8" s="42" customFormat="1" ht="15" x14ac:dyDescent="0.2">
      <c r="B270" s="814"/>
      <c r="C270" s="695"/>
      <c r="D270" s="376" t="s">
        <v>222</v>
      </c>
      <c r="E270" s="44" t="s">
        <v>17</v>
      </c>
      <c r="F270" s="170">
        <v>4.75</v>
      </c>
      <c r="G270" s="170">
        <v>4.7</v>
      </c>
      <c r="H270" s="43">
        <f t="shared" si="12"/>
        <v>22.324999999999999</v>
      </c>
    </row>
    <row r="271" spans="2:8" s="42" customFormat="1" ht="15" x14ac:dyDescent="0.2">
      <c r="B271" s="814"/>
      <c r="C271" s="695"/>
      <c r="D271" s="376" t="s">
        <v>223</v>
      </c>
      <c r="E271" s="44" t="s">
        <v>17</v>
      </c>
      <c r="F271" s="170">
        <v>4.9000000000000004</v>
      </c>
      <c r="G271" s="170">
        <v>7.25</v>
      </c>
      <c r="H271" s="43">
        <f t="shared" si="12"/>
        <v>35.525000000000006</v>
      </c>
    </row>
    <row r="272" spans="2:8" s="42" customFormat="1" ht="15" x14ac:dyDescent="0.2">
      <c r="B272" s="814"/>
      <c r="C272" s="695"/>
      <c r="D272" s="376" t="s">
        <v>224</v>
      </c>
      <c r="E272" s="44" t="s">
        <v>17</v>
      </c>
      <c r="F272" s="170">
        <v>2.2000000000000002</v>
      </c>
      <c r="G272" s="170">
        <v>1</v>
      </c>
      <c r="H272" s="43">
        <f t="shared" si="12"/>
        <v>2.2000000000000002</v>
      </c>
    </row>
    <row r="273" spans="2:8" s="42" customFormat="1" ht="15" x14ac:dyDescent="0.2">
      <c r="B273" s="815"/>
      <c r="C273" s="696"/>
      <c r="D273" s="376" t="s">
        <v>225</v>
      </c>
      <c r="E273" s="44" t="s">
        <v>17</v>
      </c>
      <c r="F273" s="170">
        <v>1.5</v>
      </c>
      <c r="G273" s="170">
        <v>1.8</v>
      </c>
      <c r="H273" s="321">
        <f>F273*G273</f>
        <v>2.7</v>
      </c>
    </row>
    <row r="274" spans="2:8" s="42" customFormat="1" ht="15.75" x14ac:dyDescent="0.25">
      <c r="B274" s="740" t="s">
        <v>226</v>
      </c>
      <c r="C274" s="728"/>
      <c r="D274" s="741"/>
      <c r="E274" s="741"/>
      <c r="F274" s="741"/>
      <c r="G274" s="741"/>
      <c r="H274" s="742"/>
    </row>
    <row r="275" spans="2:8" s="42" customFormat="1" ht="15.75" x14ac:dyDescent="0.25">
      <c r="B275" s="610">
        <v>6</v>
      </c>
      <c r="C275" s="430" t="s">
        <v>227</v>
      </c>
      <c r="D275" s="774" t="s">
        <v>228</v>
      </c>
      <c r="E275" s="775"/>
      <c r="F275" s="775"/>
      <c r="G275" s="776"/>
      <c r="H275" s="195" t="s">
        <v>14</v>
      </c>
    </row>
    <row r="276" spans="2:8" s="42" customFormat="1" ht="15.75" x14ac:dyDescent="0.25">
      <c r="B276" s="598" t="s">
        <v>229</v>
      </c>
      <c r="C276" s="442" t="s">
        <v>230</v>
      </c>
      <c r="D276" s="52" t="s">
        <v>231</v>
      </c>
      <c r="E276" s="99" t="s">
        <v>67</v>
      </c>
      <c r="F276" s="671" t="s">
        <v>232</v>
      </c>
      <c r="G276" s="671"/>
      <c r="H276" s="192">
        <f>SUM(H277)</f>
        <v>50</v>
      </c>
    </row>
    <row r="277" spans="2:8" s="42" customFormat="1" ht="15" x14ac:dyDescent="0.25">
      <c r="B277" s="613"/>
      <c r="C277" s="614"/>
      <c r="D277" s="40" t="s">
        <v>233</v>
      </c>
      <c r="E277" s="44" t="s">
        <v>67</v>
      </c>
      <c r="F277" s="670">
        <v>50</v>
      </c>
      <c r="G277" s="670"/>
      <c r="H277" s="191">
        <f>F277</f>
        <v>50</v>
      </c>
    </row>
    <row r="278" spans="2:8" s="42" customFormat="1" ht="30" x14ac:dyDescent="0.25">
      <c r="B278" s="598" t="s">
        <v>234</v>
      </c>
      <c r="C278" s="442" t="s">
        <v>1173</v>
      </c>
      <c r="D278" s="647" t="s">
        <v>1174</v>
      </c>
      <c r="E278" s="99" t="s">
        <v>67</v>
      </c>
      <c r="F278" s="671" t="s">
        <v>232</v>
      </c>
      <c r="G278" s="671"/>
      <c r="H278" s="192">
        <f>H279</f>
        <v>9</v>
      </c>
    </row>
    <row r="279" spans="2:8" s="42" customFormat="1" ht="15" x14ac:dyDescent="0.25">
      <c r="B279" s="613"/>
      <c r="C279" s="614"/>
      <c r="D279" s="40" t="s">
        <v>233</v>
      </c>
      <c r="E279" s="44" t="s">
        <v>67</v>
      </c>
      <c r="F279" s="691">
        <v>9</v>
      </c>
      <c r="G279" s="684"/>
      <c r="H279" s="191">
        <v>9</v>
      </c>
    </row>
    <row r="280" spans="2:8" s="42" customFormat="1" ht="15.75" x14ac:dyDescent="0.25">
      <c r="B280" s="598" t="s">
        <v>235</v>
      </c>
      <c r="C280" s="611">
        <v>70564</v>
      </c>
      <c r="D280" s="91" t="s">
        <v>236</v>
      </c>
      <c r="E280" s="164" t="s">
        <v>63</v>
      </c>
      <c r="F280" s="685" t="s">
        <v>27</v>
      </c>
      <c r="G280" s="686"/>
      <c r="H280" s="192">
        <f>H281</f>
        <v>57</v>
      </c>
    </row>
    <row r="281" spans="2:8" s="42" customFormat="1" ht="15" x14ac:dyDescent="0.25">
      <c r="B281" s="689"/>
      <c r="C281" s="690"/>
      <c r="D281" s="40" t="s">
        <v>233</v>
      </c>
      <c r="E281" s="44" t="s">
        <v>63</v>
      </c>
      <c r="F281" s="691">
        <v>57</v>
      </c>
      <c r="G281" s="684"/>
      <c r="H281" s="191">
        <f>F281</f>
        <v>57</v>
      </c>
    </row>
    <row r="282" spans="2:8" s="42" customFormat="1" ht="15.75" x14ac:dyDescent="0.25">
      <c r="B282" s="598" t="s">
        <v>237</v>
      </c>
      <c r="C282" s="611">
        <v>70564</v>
      </c>
      <c r="D282" s="91" t="s">
        <v>238</v>
      </c>
      <c r="E282" s="164" t="s">
        <v>63</v>
      </c>
      <c r="F282" s="685" t="s">
        <v>27</v>
      </c>
      <c r="G282" s="686"/>
      <c r="H282" s="192">
        <f>H283</f>
        <v>57</v>
      </c>
    </row>
    <row r="283" spans="2:8" s="42" customFormat="1" ht="15" x14ac:dyDescent="0.25">
      <c r="B283" s="689"/>
      <c r="C283" s="690"/>
      <c r="D283" s="40" t="s">
        <v>233</v>
      </c>
      <c r="E283" s="44" t="s">
        <v>63</v>
      </c>
      <c r="F283" s="691">
        <v>57</v>
      </c>
      <c r="G283" s="684"/>
      <c r="H283" s="191">
        <f>F283</f>
        <v>57</v>
      </c>
    </row>
    <row r="284" spans="2:8" s="42" customFormat="1" ht="15.75" x14ac:dyDescent="0.25">
      <c r="B284" s="598" t="s">
        <v>239</v>
      </c>
      <c r="C284" s="611">
        <v>70564</v>
      </c>
      <c r="D284" s="91" t="s">
        <v>240</v>
      </c>
      <c r="E284" s="164" t="s">
        <v>63</v>
      </c>
      <c r="F284" s="685" t="s">
        <v>27</v>
      </c>
      <c r="G284" s="686"/>
      <c r="H284" s="192">
        <f>H285</f>
        <v>18</v>
      </c>
    </row>
    <row r="285" spans="2:8" s="42" customFormat="1" ht="15" x14ac:dyDescent="0.25">
      <c r="B285" s="689"/>
      <c r="C285" s="690"/>
      <c r="D285" s="40" t="s">
        <v>233</v>
      </c>
      <c r="E285" s="44" t="s">
        <v>63</v>
      </c>
      <c r="F285" s="691">
        <v>18</v>
      </c>
      <c r="G285" s="684"/>
      <c r="H285" s="191">
        <f>F285</f>
        <v>18</v>
      </c>
    </row>
    <row r="286" spans="2:8" s="42" customFormat="1" ht="15.75" x14ac:dyDescent="0.25">
      <c r="B286" s="598" t="s">
        <v>241</v>
      </c>
      <c r="C286" s="611" t="s">
        <v>242</v>
      </c>
      <c r="D286" s="91" t="s">
        <v>243</v>
      </c>
      <c r="E286" s="164" t="s">
        <v>63</v>
      </c>
      <c r="F286" s="685" t="s">
        <v>27</v>
      </c>
      <c r="G286" s="686"/>
      <c r="H286" s="192">
        <f>H287</f>
        <v>57</v>
      </c>
    </row>
    <row r="287" spans="2:8" s="42" customFormat="1" ht="15" x14ac:dyDescent="0.25">
      <c r="B287" s="689"/>
      <c r="C287" s="690"/>
      <c r="D287" s="40" t="s">
        <v>233</v>
      </c>
      <c r="E287" s="44" t="s">
        <v>63</v>
      </c>
      <c r="F287" s="691">
        <v>57</v>
      </c>
      <c r="G287" s="684"/>
      <c r="H287" s="191">
        <f>F287</f>
        <v>57</v>
      </c>
    </row>
    <row r="288" spans="2:8" s="42" customFormat="1" ht="15.75" x14ac:dyDescent="0.25">
      <c r="B288" s="598" t="s">
        <v>244</v>
      </c>
      <c r="C288" s="611" t="s">
        <v>242</v>
      </c>
      <c r="D288" s="91" t="s">
        <v>245</v>
      </c>
      <c r="E288" s="164" t="s">
        <v>63</v>
      </c>
      <c r="F288" s="685" t="s">
        <v>27</v>
      </c>
      <c r="G288" s="686"/>
      <c r="H288" s="192">
        <f>H289</f>
        <v>37</v>
      </c>
    </row>
    <row r="289" spans="1:8" s="42" customFormat="1" ht="15" x14ac:dyDescent="0.25">
      <c r="B289" s="689"/>
      <c r="C289" s="690"/>
      <c r="D289" s="40" t="s">
        <v>233</v>
      </c>
      <c r="E289" s="44" t="s">
        <v>63</v>
      </c>
      <c r="F289" s="691">
        <v>37</v>
      </c>
      <c r="G289" s="684"/>
      <c r="H289" s="191">
        <f>F289</f>
        <v>37</v>
      </c>
    </row>
    <row r="290" spans="1:8" s="42" customFormat="1" ht="15.75" x14ac:dyDescent="0.25">
      <c r="A290" s="89"/>
      <c r="B290" s="598" t="s">
        <v>246</v>
      </c>
      <c r="C290" s="442" t="s">
        <v>242</v>
      </c>
      <c r="D290" s="91" t="s">
        <v>247</v>
      </c>
      <c r="E290" s="164" t="s">
        <v>63</v>
      </c>
      <c r="F290" s="671" t="s">
        <v>27</v>
      </c>
      <c r="G290" s="671"/>
      <c r="H290" s="192">
        <f>H291</f>
        <v>57</v>
      </c>
    </row>
    <row r="291" spans="1:8" s="42" customFormat="1" ht="15" x14ac:dyDescent="0.25">
      <c r="B291" s="689"/>
      <c r="C291" s="729"/>
      <c r="D291" s="40" t="s">
        <v>233</v>
      </c>
      <c r="E291" s="44" t="s">
        <v>63</v>
      </c>
      <c r="F291" s="670">
        <v>57</v>
      </c>
      <c r="G291" s="670"/>
      <c r="H291" s="191">
        <f>F291</f>
        <v>57</v>
      </c>
    </row>
    <row r="292" spans="1:8" s="42" customFormat="1" ht="15.75" x14ac:dyDescent="0.25">
      <c r="B292" s="598" t="s">
        <v>248</v>
      </c>
      <c r="C292" s="442" t="s">
        <v>249</v>
      </c>
      <c r="D292" s="91" t="s">
        <v>250</v>
      </c>
      <c r="E292" s="164" t="s">
        <v>63</v>
      </c>
      <c r="F292" s="671" t="s">
        <v>27</v>
      </c>
      <c r="G292" s="671"/>
      <c r="H292" s="192">
        <f>H293</f>
        <v>256</v>
      </c>
    </row>
    <row r="293" spans="1:8" s="42" customFormat="1" ht="15" x14ac:dyDescent="0.25">
      <c r="B293" s="689"/>
      <c r="C293" s="729"/>
      <c r="D293" s="40" t="s">
        <v>233</v>
      </c>
      <c r="E293" s="44" t="s">
        <v>63</v>
      </c>
      <c r="F293" s="670">
        <v>256</v>
      </c>
      <c r="G293" s="670"/>
      <c r="H293" s="191">
        <f>F293</f>
        <v>256</v>
      </c>
    </row>
    <row r="294" spans="1:8" s="42" customFormat="1" ht="15.75" x14ac:dyDescent="0.25">
      <c r="B294" s="598" t="s">
        <v>251</v>
      </c>
      <c r="C294" s="442" t="s">
        <v>249</v>
      </c>
      <c r="D294" s="91" t="s">
        <v>252</v>
      </c>
      <c r="E294" s="164" t="s">
        <v>63</v>
      </c>
      <c r="F294" s="671" t="s">
        <v>27</v>
      </c>
      <c r="G294" s="671"/>
      <c r="H294" s="192">
        <f>H295</f>
        <v>256</v>
      </c>
    </row>
    <row r="295" spans="1:8" s="42" customFormat="1" ht="15" x14ac:dyDescent="0.25">
      <c r="B295" s="689"/>
      <c r="C295" s="729"/>
      <c r="D295" s="40" t="s">
        <v>233</v>
      </c>
      <c r="E295" s="44" t="s">
        <v>63</v>
      </c>
      <c r="F295" s="670">
        <v>256</v>
      </c>
      <c r="G295" s="670"/>
      <c r="H295" s="191">
        <f>F295</f>
        <v>256</v>
      </c>
    </row>
    <row r="296" spans="1:8" s="42" customFormat="1" ht="15.75" x14ac:dyDescent="0.25">
      <c r="B296" s="598" t="s">
        <v>253</v>
      </c>
      <c r="C296" s="442" t="s">
        <v>249</v>
      </c>
      <c r="D296" s="91" t="s">
        <v>254</v>
      </c>
      <c r="E296" s="164" t="s">
        <v>63</v>
      </c>
      <c r="F296" s="671" t="s">
        <v>27</v>
      </c>
      <c r="G296" s="671"/>
      <c r="H296" s="192">
        <f>H297</f>
        <v>169</v>
      </c>
    </row>
    <row r="297" spans="1:8" s="42" customFormat="1" ht="15" x14ac:dyDescent="0.25">
      <c r="B297" s="689"/>
      <c r="C297" s="729"/>
      <c r="D297" s="40" t="s">
        <v>233</v>
      </c>
      <c r="E297" s="44" t="s">
        <v>63</v>
      </c>
      <c r="F297" s="670">
        <v>169</v>
      </c>
      <c r="G297" s="670"/>
      <c r="H297" s="191">
        <f>F297</f>
        <v>169</v>
      </c>
    </row>
    <row r="298" spans="1:8" s="42" customFormat="1" ht="15.75" x14ac:dyDescent="0.25">
      <c r="B298" s="598" t="s">
        <v>255</v>
      </c>
      <c r="C298" s="442">
        <v>70570</v>
      </c>
      <c r="D298" s="91" t="s">
        <v>256</v>
      </c>
      <c r="E298" s="164" t="s">
        <v>63</v>
      </c>
      <c r="F298" s="671" t="s">
        <v>27</v>
      </c>
      <c r="G298" s="671"/>
      <c r="H298" s="192">
        <f>H299</f>
        <v>64</v>
      </c>
    </row>
    <row r="299" spans="1:8" s="42" customFormat="1" ht="15" x14ac:dyDescent="0.25">
      <c r="B299" s="689"/>
      <c r="C299" s="729"/>
      <c r="D299" s="40" t="s">
        <v>233</v>
      </c>
      <c r="E299" s="44" t="s">
        <v>63</v>
      </c>
      <c r="F299" s="670">
        <v>64</v>
      </c>
      <c r="G299" s="670"/>
      <c r="H299" s="191">
        <f>F299</f>
        <v>64</v>
      </c>
    </row>
    <row r="300" spans="1:8" s="42" customFormat="1" ht="15.75" x14ac:dyDescent="0.25">
      <c r="B300" s="598" t="s">
        <v>257</v>
      </c>
      <c r="C300" s="442">
        <v>70570</v>
      </c>
      <c r="D300" s="91" t="s">
        <v>258</v>
      </c>
      <c r="E300" s="164" t="s">
        <v>63</v>
      </c>
      <c r="F300" s="671" t="s">
        <v>27</v>
      </c>
      <c r="G300" s="671"/>
      <c r="H300" s="192">
        <f>H301</f>
        <v>64</v>
      </c>
    </row>
    <row r="301" spans="1:8" s="42" customFormat="1" ht="15" x14ac:dyDescent="0.25">
      <c r="B301" s="689"/>
      <c r="C301" s="729"/>
      <c r="D301" s="40" t="s">
        <v>233</v>
      </c>
      <c r="E301" s="44" t="s">
        <v>63</v>
      </c>
      <c r="F301" s="670">
        <v>64</v>
      </c>
      <c r="G301" s="670"/>
      <c r="H301" s="191">
        <f>F301</f>
        <v>64</v>
      </c>
    </row>
    <row r="302" spans="1:8" s="42" customFormat="1" ht="15.75" x14ac:dyDescent="0.25">
      <c r="B302" s="598" t="s">
        <v>259</v>
      </c>
      <c r="C302" s="442">
        <v>70570</v>
      </c>
      <c r="D302" s="91" t="s">
        <v>260</v>
      </c>
      <c r="E302" s="164" t="s">
        <v>63</v>
      </c>
      <c r="F302" s="671" t="s">
        <v>27</v>
      </c>
      <c r="G302" s="671"/>
      <c r="H302" s="192">
        <f>H303</f>
        <v>42</v>
      </c>
    </row>
    <row r="303" spans="1:8" s="42" customFormat="1" ht="15" x14ac:dyDescent="0.25">
      <c r="B303" s="689"/>
      <c r="C303" s="729"/>
      <c r="D303" s="40" t="s">
        <v>233</v>
      </c>
      <c r="E303" s="44" t="s">
        <v>63</v>
      </c>
      <c r="F303" s="670">
        <v>42</v>
      </c>
      <c r="G303" s="670"/>
      <c r="H303" s="191">
        <f>F303</f>
        <v>42</v>
      </c>
    </row>
    <row r="304" spans="1:8" s="42" customFormat="1" ht="15.75" x14ac:dyDescent="0.25">
      <c r="B304" s="598" t="s">
        <v>261</v>
      </c>
      <c r="C304" s="442">
        <v>71173</v>
      </c>
      <c r="D304" s="91" t="s">
        <v>262</v>
      </c>
      <c r="E304" s="164" t="s">
        <v>67</v>
      </c>
      <c r="F304" s="671" t="s">
        <v>232</v>
      </c>
      <c r="G304" s="671"/>
      <c r="H304" s="192">
        <f>H305</f>
        <v>14</v>
      </c>
    </row>
    <row r="305" spans="2:8" s="42" customFormat="1" ht="15" x14ac:dyDescent="0.25">
      <c r="B305" s="689"/>
      <c r="C305" s="729"/>
      <c r="D305" s="40" t="s">
        <v>233</v>
      </c>
      <c r="E305" s="44" t="s">
        <v>67</v>
      </c>
      <c r="F305" s="670">
        <v>14</v>
      </c>
      <c r="G305" s="670"/>
      <c r="H305" s="191">
        <f>F305</f>
        <v>14</v>
      </c>
    </row>
    <row r="306" spans="2:8" s="42" customFormat="1" ht="15.75" x14ac:dyDescent="0.25">
      <c r="B306" s="598" t="s">
        <v>263</v>
      </c>
      <c r="C306" s="442">
        <v>71173</v>
      </c>
      <c r="D306" s="91" t="s">
        <v>264</v>
      </c>
      <c r="E306" s="164" t="s">
        <v>67</v>
      </c>
      <c r="F306" s="671" t="s">
        <v>232</v>
      </c>
      <c r="G306" s="671"/>
      <c r="H306" s="192">
        <f>H307</f>
        <v>1</v>
      </c>
    </row>
    <row r="307" spans="2:8" s="42" customFormat="1" ht="15" x14ac:dyDescent="0.25">
      <c r="B307" s="689"/>
      <c r="C307" s="729"/>
      <c r="D307" s="40" t="s">
        <v>233</v>
      </c>
      <c r="E307" s="44" t="s">
        <v>67</v>
      </c>
      <c r="F307" s="670">
        <v>1</v>
      </c>
      <c r="G307" s="670"/>
      <c r="H307" s="191">
        <f>F307</f>
        <v>1</v>
      </c>
    </row>
    <row r="308" spans="2:8" s="42" customFormat="1" ht="15.75" x14ac:dyDescent="0.25">
      <c r="B308" s="598" t="s">
        <v>265</v>
      </c>
      <c r="C308" s="442">
        <v>71173</v>
      </c>
      <c r="D308" s="91" t="s">
        <v>266</v>
      </c>
      <c r="E308" s="164" t="s">
        <v>67</v>
      </c>
      <c r="F308" s="671" t="s">
        <v>232</v>
      </c>
      <c r="G308" s="671"/>
      <c r="H308" s="192">
        <f>H309</f>
        <v>1</v>
      </c>
    </row>
    <row r="309" spans="2:8" s="42" customFormat="1" ht="15" x14ac:dyDescent="0.25">
      <c r="B309" s="689"/>
      <c r="C309" s="729"/>
      <c r="D309" s="40" t="s">
        <v>233</v>
      </c>
      <c r="E309" s="44" t="s">
        <v>67</v>
      </c>
      <c r="F309" s="670">
        <v>1</v>
      </c>
      <c r="G309" s="670"/>
      <c r="H309" s="191">
        <f>F309</f>
        <v>1</v>
      </c>
    </row>
    <row r="310" spans="2:8" s="42" customFormat="1" ht="15.75" x14ac:dyDescent="0.25">
      <c r="B310" s="598" t="s">
        <v>267</v>
      </c>
      <c r="C310" s="442">
        <v>71173</v>
      </c>
      <c r="D310" s="91" t="s">
        <v>268</v>
      </c>
      <c r="E310" s="164" t="s">
        <v>67</v>
      </c>
      <c r="F310" s="671" t="s">
        <v>232</v>
      </c>
      <c r="G310" s="671"/>
      <c r="H310" s="192">
        <f>H311</f>
        <v>4</v>
      </c>
    </row>
    <row r="311" spans="2:8" s="42" customFormat="1" ht="15" x14ac:dyDescent="0.25">
      <c r="B311" s="689"/>
      <c r="C311" s="729"/>
      <c r="D311" s="40" t="s">
        <v>233</v>
      </c>
      <c r="E311" s="44" t="s">
        <v>67</v>
      </c>
      <c r="F311" s="670">
        <v>4</v>
      </c>
      <c r="G311" s="670"/>
      <c r="H311" s="191">
        <f>F311</f>
        <v>4</v>
      </c>
    </row>
    <row r="312" spans="2:8" s="42" customFormat="1" ht="15.75" x14ac:dyDescent="0.25">
      <c r="B312" s="598" t="s">
        <v>269</v>
      </c>
      <c r="C312" s="442" t="s">
        <v>270</v>
      </c>
      <c r="D312" s="91" t="s">
        <v>271</v>
      </c>
      <c r="E312" s="164" t="s">
        <v>67</v>
      </c>
      <c r="F312" s="671" t="s">
        <v>232</v>
      </c>
      <c r="G312" s="671"/>
      <c r="H312" s="192">
        <f>H313</f>
        <v>1</v>
      </c>
    </row>
    <row r="313" spans="2:8" s="42" customFormat="1" ht="15" x14ac:dyDescent="0.25">
      <c r="B313" s="689"/>
      <c r="C313" s="729"/>
      <c r="D313" s="40" t="s">
        <v>233</v>
      </c>
      <c r="E313" s="44" t="s">
        <v>67</v>
      </c>
      <c r="F313" s="670">
        <v>1</v>
      </c>
      <c r="G313" s="670"/>
      <c r="H313" s="191">
        <f>F313</f>
        <v>1</v>
      </c>
    </row>
    <row r="314" spans="2:8" s="42" customFormat="1" ht="15.75" x14ac:dyDescent="0.25">
      <c r="B314" s="598" t="s">
        <v>272</v>
      </c>
      <c r="C314" s="442">
        <v>71194</v>
      </c>
      <c r="D314" s="91" t="s">
        <v>273</v>
      </c>
      <c r="E314" s="164" t="s">
        <v>63</v>
      </c>
      <c r="F314" s="671" t="s">
        <v>27</v>
      </c>
      <c r="G314" s="671"/>
      <c r="H314" s="192">
        <f>H315</f>
        <v>390</v>
      </c>
    </row>
    <row r="315" spans="2:8" s="42" customFormat="1" ht="15" x14ac:dyDescent="0.25">
      <c r="B315" s="689"/>
      <c r="C315" s="729"/>
      <c r="D315" s="40" t="s">
        <v>233</v>
      </c>
      <c r="E315" s="44" t="s">
        <v>63</v>
      </c>
      <c r="F315" s="670">
        <v>390</v>
      </c>
      <c r="G315" s="670"/>
      <c r="H315" s="191">
        <f>F315</f>
        <v>390</v>
      </c>
    </row>
    <row r="316" spans="2:8" s="42" customFormat="1" ht="15.75" x14ac:dyDescent="0.25">
      <c r="B316" s="598" t="s">
        <v>274</v>
      </c>
      <c r="C316" s="442">
        <v>71195</v>
      </c>
      <c r="D316" s="91" t="s">
        <v>275</v>
      </c>
      <c r="E316" s="164" t="s">
        <v>63</v>
      </c>
      <c r="F316" s="671" t="s">
        <v>27</v>
      </c>
      <c r="G316" s="671"/>
      <c r="H316" s="192">
        <f>H317</f>
        <v>10</v>
      </c>
    </row>
    <row r="317" spans="2:8" s="42" customFormat="1" ht="15" x14ac:dyDescent="0.25">
      <c r="B317" s="689"/>
      <c r="C317" s="729"/>
      <c r="D317" s="40" t="s">
        <v>233</v>
      </c>
      <c r="E317" s="44" t="s">
        <v>63</v>
      </c>
      <c r="F317" s="670">
        <v>10</v>
      </c>
      <c r="G317" s="670"/>
      <c r="H317" s="191">
        <f>F317</f>
        <v>10</v>
      </c>
    </row>
    <row r="318" spans="2:8" s="42" customFormat="1" ht="15.75" x14ac:dyDescent="0.25">
      <c r="B318" s="598" t="s">
        <v>276</v>
      </c>
      <c r="C318" s="442">
        <v>71197</v>
      </c>
      <c r="D318" s="91" t="s">
        <v>277</v>
      </c>
      <c r="E318" s="164" t="s">
        <v>63</v>
      </c>
      <c r="F318" s="671" t="s">
        <v>27</v>
      </c>
      <c r="G318" s="671"/>
      <c r="H318" s="192">
        <f>H319</f>
        <v>40</v>
      </c>
    </row>
    <row r="319" spans="2:8" s="42" customFormat="1" ht="15" x14ac:dyDescent="0.25">
      <c r="B319" s="689"/>
      <c r="C319" s="729"/>
      <c r="D319" s="40" t="s">
        <v>233</v>
      </c>
      <c r="E319" s="44" t="s">
        <v>63</v>
      </c>
      <c r="F319" s="670">
        <v>40</v>
      </c>
      <c r="G319" s="670"/>
      <c r="H319" s="191">
        <f>F319</f>
        <v>40</v>
      </c>
    </row>
    <row r="320" spans="2:8" s="42" customFormat="1" ht="15.75" x14ac:dyDescent="0.25">
      <c r="B320" s="598" t="s">
        <v>278</v>
      </c>
      <c r="C320" s="442" t="s">
        <v>279</v>
      </c>
      <c r="D320" s="91" t="s">
        <v>280</v>
      </c>
      <c r="E320" s="164" t="s">
        <v>67</v>
      </c>
      <c r="F320" s="671" t="s">
        <v>232</v>
      </c>
      <c r="G320" s="671"/>
      <c r="H320" s="192">
        <f>H321</f>
        <v>1</v>
      </c>
    </row>
    <row r="321" spans="2:8" s="42" customFormat="1" ht="15" x14ac:dyDescent="0.25">
      <c r="B321" s="689"/>
      <c r="C321" s="729"/>
      <c r="D321" s="40" t="s">
        <v>233</v>
      </c>
      <c r="E321" s="44" t="s">
        <v>67</v>
      </c>
      <c r="F321" s="670">
        <v>1</v>
      </c>
      <c r="G321" s="670"/>
      <c r="H321" s="191">
        <f>F321</f>
        <v>1</v>
      </c>
    </row>
    <row r="322" spans="2:8" s="42" customFormat="1" ht="15.75" x14ac:dyDescent="0.25">
      <c r="B322" s="598" t="s">
        <v>281</v>
      </c>
      <c r="C322" s="442">
        <v>72430</v>
      </c>
      <c r="D322" s="91" t="s">
        <v>282</v>
      </c>
      <c r="E322" s="164" t="s">
        <v>67</v>
      </c>
      <c r="F322" s="671" t="s">
        <v>232</v>
      </c>
      <c r="G322" s="671"/>
      <c r="H322" s="192">
        <f>H323</f>
        <v>18</v>
      </c>
    </row>
    <row r="323" spans="2:8" s="42" customFormat="1" ht="15" x14ac:dyDescent="0.25">
      <c r="B323" s="689"/>
      <c r="C323" s="729"/>
      <c r="D323" s="40" t="s">
        <v>233</v>
      </c>
      <c r="E323" s="44" t="s">
        <v>67</v>
      </c>
      <c r="F323" s="670">
        <v>18</v>
      </c>
      <c r="G323" s="670"/>
      <c r="H323" s="191">
        <f>F323</f>
        <v>18</v>
      </c>
    </row>
    <row r="324" spans="2:8" s="42" customFormat="1" ht="15.75" x14ac:dyDescent="0.25">
      <c r="B324" s="598" t="s">
        <v>283</v>
      </c>
      <c r="C324" s="442">
        <v>72435</v>
      </c>
      <c r="D324" s="91" t="s">
        <v>284</v>
      </c>
      <c r="E324" s="164" t="s">
        <v>67</v>
      </c>
      <c r="F324" s="671" t="s">
        <v>232</v>
      </c>
      <c r="G324" s="671"/>
      <c r="H324" s="192">
        <f>H325</f>
        <v>8</v>
      </c>
    </row>
    <row r="325" spans="2:8" s="42" customFormat="1" ht="15" x14ac:dyDescent="0.25">
      <c r="B325" s="689"/>
      <c r="C325" s="729"/>
      <c r="D325" s="40" t="s">
        <v>233</v>
      </c>
      <c r="E325" s="44" t="s">
        <v>67</v>
      </c>
      <c r="F325" s="670">
        <v>8</v>
      </c>
      <c r="G325" s="670">
        <v>7</v>
      </c>
      <c r="H325" s="191">
        <f>F325</f>
        <v>8</v>
      </c>
    </row>
    <row r="326" spans="2:8" s="42" customFormat="1" ht="15.75" x14ac:dyDescent="0.25">
      <c r="B326" s="598" t="s">
        <v>285</v>
      </c>
      <c r="C326" s="442">
        <v>72441</v>
      </c>
      <c r="D326" s="91" t="s">
        <v>286</v>
      </c>
      <c r="E326" s="164" t="s">
        <v>67</v>
      </c>
      <c r="F326" s="671" t="s">
        <v>232</v>
      </c>
      <c r="G326" s="671"/>
      <c r="H326" s="192">
        <f>H327</f>
        <v>55</v>
      </c>
    </row>
    <row r="327" spans="2:8" s="42" customFormat="1" ht="15" x14ac:dyDescent="0.25">
      <c r="B327" s="689"/>
      <c r="C327" s="729"/>
      <c r="D327" s="40" t="s">
        <v>233</v>
      </c>
      <c r="E327" s="44" t="s">
        <v>67</v>
      </c>
      <c r="F327" s="670">
        <v>55</v>
      </c>
      <c r="G327" s="670">
        <v>74</v>
      </c>
      <c r="H327" s="191">
        <f>F327</f>
        <v>55</v>
      </c>
    </row>
    <row r="328" spans="2:8" s="42" customFormat="1" ht="15.75" x14ac:dyDescent="0.25">
      <c r="B328" s="598" t="s">
        <v>287</v>
      </c>
      <c r="C328" s="442">
        <v>72442</v>
      </c>
      <c r="D328" s="91" t="s">
        <v>288</v>
      </c>
      <c r="E328" s="164" t="s">
        <v>67</v>
      </c>
      <c r="F328" s="671" t="s">
        <v>232</v>
      </c>
      <c r="G328" s="671"/>
      <c r="H328" s="192">
        <f>H329</f>
        <v>5</v>
      </c>
    </row>
    <row r="329" spans="2:8" s="42" customFormat="1" ht="15" x14ac:dyDescent="0.25">
      <c r="B329" s="689"/>
      <c r="C329" s="729"/>
      <c r="D329" s="40" t="s">
        <v>233</v>
      </c>
      <c r="E329" s="44" t="s">
        <v>67</v>
      </c>
      <c r="F329" s="670">
        <v>5</v>
      </c>
      <c r="G329" s="670"/>
      <c r="H329" s="194">
        <f>F329</f>
        <v>5</v>
      </c>
    </row>
    <row r="330" spans="2:8" s="42" customFormat="1" ht="15.75" x14ac:dyDescent="0.25">
      <c r="B330" s="598" t="s">
        <v>289</v>
      </c>
      <c r="C330" s="442">
        <v>72385</v>
      </c>
      <c r="D330" s="91" t="s">
        <v>290</v>
      </c>
      <c r="E330" s="164" t="s">
        <v>67</v>
      </c>
      <c r="F330" s="671" t="s">
        <v>232</v>
      </c>
      <c r="G330" s="671"/>
      <c r="H330" s="192">
        <f>H331</f>
        <v>6</v>
      </c>
    </row>
    <row r="331" spans="2:8" s="42" customFormat="1" ht="15.75" x14ac:dyDescent="0.25">
      <c r="B331" s="730"/>
      <c r="C331" s="731"/>
      <c r="D331" s="40" t="s">
        <v>233</v>
      </c>
      <c r="E331" s="44" t="s">
        <v>67</v>
      </c>
      <c r="F331" s="670">
        <v>6</v>
      </c>
      <c r="G331" s="670"/>
      <c r="H331" s="194">
        <f>F331</f>
        <v>6</v>
      </c>
    </row>
    <row r="332" spans="2:8" s="42" customFormat="1" ht="15.75" x14ac:dyDescent="0.25">
      <c r="B332" s="598" t="s">
        <v>291</v>
      </c>
      <c r="C332" s="442">
        <v>71598</v>
      </c>
      <c r="D332" s="91" t="s">
        <v>292</v>
      </c>
      <c r="E332" s="164" t="s">
        <v>67</v>
      </c>
      <c r="F332" s="671" t="s">
        <v>232</v>
      </c>
      <c r="G332" s="671"/>
      <c r="H332" s="192">
        <f>H333</f>
        <v>25</v>
      </c>
    </row>
    <row r="333" spans="2:8" s="42" customFormat="1" ht="15.75" x14ac:dyDescent="0.25">
      <c r="B333" s="730"/>
      <c r="C333" s="731"/>
      <c r="D333" s="40" t="s">
        <v>233</v>
      </c>
      <c r="E333" s="44" t="s">
        <v>67</v>
      </c>
      <c r="F333" s="670">
        <v>25</v>
      </c>
      <c r="G333" s="670"/>
      <c r="H333" s="194">
        <f>F333</f>
        <v>25</v>
      </c>
    </row>
    <row r="334" spans="2:8" s="42" customFormat="1" ht="15.75" x14ac:dyDescent="0.25">
      <c r="B334" s="598" t="s">
        <v>293</v>
      </c>
      <c r="C334" s="442">
        <v>71321</v>
      </c>
      <c r="D334" s="91" t="s">
        <v>294</v>
      </c>
      <c r="E334" s="164" t="s">
        <v>63</v>
      </c>
      <c r="F334" s="671" t="s">
        <v>232</v>
      </c>
      <c r="G334" s="671"/>
      <c r="H334" s="192">
        <f>H335</f>
        <v>150</v>
      </c>
    </row>
    <row r="335" spans="2:8" s="42" customFormat="1" ht="15.75" x14ac:dyDescent="0.25">
      <c r="B335" s="730"/>
      <c r="C335" s="731"/>
      <c r="D335" s="40" t="s">
        <v>233</v>
      </c>
      <c r="E335" s="44" t="s">
        <v>63</v>
      </c>
      <c r="F335" s="670">
        <v>150</v>
      </c>
      <c r="G335" s="670"/>
      <c r="H335" s="194">
        <f>F335</f>
        <v>150</v>
      </c>
    </row>
    <row r="336" spans="2:8" s="42" customFormat="1" ht="15.75" x14ac:dyDescent="0.25">
      <c r="B336" s="598" t="s">
        <v>295</v>
      </c>
      <c r="C336" s="442">
        <v>70681</v>
      </c>
      <c r="D336" s="91" t="s">
        <v>296</v>
      </c>
      <c r="E336" s="164" t="s">
        <v>67</v>
      </c>
      <c r="F336" s="671" t="s">
        <v>232</v>
      </c>
      <c r="G336" s="671"/>
      <c r="H336" s="192">
        <f>H337</f>
        <v>50</v>
      </c>
    </row>
    <row r="337" spans="1:8" s="42" customFormat="1" ht="15.75" x14ac:dyDescent="0.25">
      <c r="B337" s="730"/>
      <c r="C337" s="731"/>
      <c r="D337" s="40" t="s">
        <v>233</v>
      </c>
      <c r="E337" s="44" t="s">
        <v>67</v>
      </c>
      <c r="F337" s="670">
        <v>50</v>
      </c>
      <c r="G337" s="670"/>
      <c r="H337" s="191">
        <f>F337</f>
        <v>50</v>
      </c>
    </row>
    <row r="338" spans="1:8" s="89" customFormat="1" ht="15.75" x14ac:dyDescent="0.25">
      <c r="A338" s="42"/>
      <c r="B338" s="598" t="s">
        <v>297</v>
      </c>
      <c r="C338" s="611">
        <v>70924</v>
      </c>
      <c r="D338" s="91" t="s">
        <v>298</v>
      </c>
      <c r="E338" s="164" t="s">
        <v>67</v>
      </c>
      <c r="F338" s="671" t="s">
        <v>232</v>
      </c>
      <c r="G338" s="671"/>
      <c r="H338" s="192">
        <f>H339</f>
        <v>92</v>
      </c>
    </row>
    <row r="339" spans="1:8" s="42" customFormat="1" ht="15.75" x14ac:dyDescent="0.25">
      <c r="B339" s="730"/>
      <c r="C339" s="731"/>
      <c r="D339" s="40" t="s">
        <v>233</v>
      </c>
      <c r="E339" s="44" t="s">
        <v>67</v>
      </c>
      <c r="F339" s="670">
        <v>92</v>
      </c>
      <c r="G339" s="670">
        <v>110</v>
      </c>
      <c r="H339" s="191">
        <f>F339</f>
        <v>92</v>
      </c>
    </row>
    <row r="340" spans="1:8" s="89" customFormat="1" ht="15.75" x14ac:dyDescent="0.25">
      <c r="A340" s="42"/>
      <c r="B340" s="598" t="s">
        <v>299</v>
      </c>
      <c r="C340" s="611">
        <v>71043</v>
      </c>
      <c r="D340" s="91" t="s">
        <v>300</v>
      </c>
      <c r="E340" s="164" t="s">
        <v>67</v>
      </c>
      <c r="F340" s="671" t="s">
        <v>232</v>
      </c>
      <c r="G340" s="671"/>
      <c r="H340" s="192">
        <f>H341</f>
        <v>4</v>
      </c>
    </row>
    <row r="341" spans="1:8" s="42" customFormat="1" ht="15.75" x14ac:dyDescent="0.25">
      <c r="A341" s="89"/>
      <c r="B341" s="730"/>
      <c r="C341" s="731"/>
      <c r="D341" s="40" t="s">
        <v>233</v>
      </c>
      <c r="E341" s="44" t="s">
        <v>67</v>
      </c>
      <c r="F341" s="670">
        <v>4</v>
      </c>
      <c r="G341" s="670">
        <v>13</v>
      </c>
      <c r="H341" s="191">
        <f>F341</f>
        <v>4</v>
      </c>
    </row>
    <row r="342" spans="1:8" s="89" customFormat="1" ht="15.75" x14ac:dyDescent="0.25">
      <c r="A342" s="42"/>
      <c r="B342" s="598" t="s">
        <v>301</v>
      </c>
      <c r="C342" s="442">
        <v>71440</v>
      </c>
      <c r="D342" s="91" t="s">
        <v>302</v>
      </c>
      <c r="E342" s="164" t="s">
        <v>67</v>
      </c>
      <c r="F342" s="671" t="s">
        <v>232</v>
      </c>
      <c r="G342" s="671"/>
      <c r="H342" s="192">
        <f>H343</f>
        <v>18</v>
      </c>
    </row>
    <row r="343" spans="1:8" s="42" customFormat="1" ht="15.75" x14ac:dyDescent="0.25">
      <c r="A343" s="89"/>
      <c r="B343" s="730"/>
      <c r="C343" s="731"/>
      <c r="D343" s="40" t="s">
        <v>233</v>
      </c>
      <c r="E343" s="44" t="s">
        <v>67</v>
      </c>
      <c r="F343" s="670">
        <v>18</v>
      </c>
      <c r="G343" s="670"/>
      <c r="H343" s="191">
        <f>F343</f>
        <v>18</v>
      </c>
    </row>
    <row r="344" spans="1:8" s="89" customFormat="1" ht="15.75" x14ac:dyDescent="0.25">
      <c r="A344" s="42"/>
      <c r="B344" s="598" t="s">
        <v>303</v>
      </c>
      <c r="C344" s="442" t="s">
        <v>304</v>
      </c>
      <c r="D344" s="91" t="s">
        <v>305</v>
      </c>
      <c r="E344" s="164" t="s">
        <v>67</v>
      </c>
      <c r="F344" s="671" t="s">
        <v>232</v>
      </c>
      <c r="G344" s="671"/>
      <c r="H344" s="192">
        <f>H345</f>
        <v>5</v>
      </c>
    </row>
    <row r="345" spans="1:8" s="42" customFormat="1" ht="15.75" x14ac:dyDescent="0.25">
      <c r="A345" s="89"/>
      <c r="B345" s="730"/>
      <c r="C345" s="731"/>
      <c r="D345" s="40" t="s">
        <v>233</v>
      </c>
      <c r="E345" s="44" t="s">
        <v>67</v>
      </c>
      <c r="F345" s="670">
        <v>5</v>
      </c>
      <c r="G345" s="670"/>
      <c r="H345" s="191">
        <f>F345</f>
        <v>5</v>
      </c>
    </row>
    <row r="346" spans="1:8" s="42" customFormat="1" ht="15.75" x14ac:dyDescent="0.25">
      <c r="B346" s="598" t="s">
        <v>306</v>
      </c>
      <c r="C346" s="442">
        <v>71431</v>
      </c>
      <c r="D346" s="91" t="s">
        <v>307</v>
      </c>
      <c r="E346" s="164" t="s">
        <v>67</v>
      </c>
      <c r="F346" s="671" t="s">
        <v>232</v>
      </c>
      <c r="G346" s="671"/>
      <c r="H346" s="192">
        <f>H347</f>
        <v>2</v>
      </c>
    </row>
    <row r="347" spans="1:8" s="42" customFormat="1" ht="15.75" x14ac:dyDescent="0.25">
      <c r="A347" s="89"/>
      <c r="B347" s="730"/>
      <c r="C347" s="731"/>
      <c r="D347" s="40" t="s">
        <v>233</v>
      </c>
      <c r="E347" s="44" t="s">
        <v>67</v>
      </c>
      <c r="F347" s="670">
        <v>2</v>
      </c>
      <c r="G347" s="670"/>
      <c r="H347" s="191">
        <f>F347</f>
        <v>2</v>
      </c>
    </row>
    <row r="348" spans="1:8" s="42" customFormat="1" ht="15.75" x14ac:dyDescent="0.25">
      <c r="B348" s="598" t="s">
        <v>308</v>
      </c>
      <c r="C348" s="442" t="s">
        <v>1165</v>
      </c>
      <c r="D348" s="91" t="s">
        <v>309</v>
      </c>
      <c r="E348" s="164" t="s">
        <v>67</v>
      </c>
      <c r="F348" s="671" t="s">
        <v>232</v>
      </c>
      <c r="G348" s="671"/>
      <c r="H348" s="192">
        <f>H349</f>
        <v>4</v>
      </c>
    </row>
    <row r="349" spans="1:8" s="42" customFormat="1" ht="15.75" x14ac:dyDescent="0.25">
      <c r="B349" s="730"/>
      <c r="C349" s="731"/>
      <c r="D349" s="40" t="s">
        <v>233</v>
      </c>
      <c r="E349" s="44" t="s">
        <v>67</v>
      </c>
      <c r="F349" s="670">
        <v>4</v>
      </c>
      <c r="G349" s="670"/>
      <c r="H349" s="191">
        <f>F349</f>
        <v>4</v>
      </c>
    </row>
    <row r="350" spans="1:8" s="42" customFormat="1" ht="15.75" x14ac:dyDescent="0.25">
      <c r="B350" s="598" t="s">
        <v>310</v>
      </c>
      <c r="C350" s="442">
        <v>72570</v>
      </c>
      <c r="D350" s="91" t="s">
        <v>311</v>
      </c>
      <c r="E350" s="164" t="s">
        <v>67</v>
      </c>
      <c r="F350" s="671" t="s">
        <v>232</v>
      </c>
      <c r="G350" s="671"/>
      <c r="H350" s="192">
        <f>H351</f>
        <v>55</v>
      </c>
    </row>
    <row r="351" spans="1:8" s="42" customFormat="1" ht="15" x14ac:dyDescent="0.25">
      <c r="B351" s="689"/>
      <c r="C351" s="729"/>
      <c r="D351" s="40" t="s">
        <v>233</v>
      </c>
      <c r="E351" s="44" t="s">
        <v>67</v>
      </c>
      <c r="F351" s="670">
        <v>55</v>
      </c>
      <c r="G351" s="670"/>
      <c r="H351" s="191">
        <f>F351</f>
        <v>55</v>
      </c>
    </row>
    <row r="352" spans="1:8" s="42" customFormat="1" ht="15.75" x14ac:dyDescent="0.25">
      <c r="B352" s="598" t="s">
        <v>312</v>
      </c>
      <c r="C352" s="442">
        <v>72575</v>
      </c>
      <c r="D352" s="91" t="s">
        <v>313</v>
      </c>
      <c r="E352" s="164" t="s">
        <v>67</v>
      </c>
      <c r="F352" s="671" t="s">
        <v>232</v>
      </c>
      <c r="G352" s="671"/>
      <c r="H352" s="192">
        <f>H353</f>
        <v>6</v>
      </c>
    </row>
    <row r="353" spans="2:8" s="42" customFormat="1" ht="15" x14ac:dyDescent="0.25">
      <c r="B353" s="689"/>
      <c r="C353" s="729"/>
      <c r="D353" s="40" t="s">
        <v>233</v>
      </c>
      <c r="E353" s="44" t="s">
        <v>67</v>
      </c>
      <c r="F353" s="670">
        <v>6</v>
      </c>
      <c r="G353" s="670"/>
      <c r="H353" s="191">
        <f>F353</f>
        <v>6</v>
      </c>
    </row>
    <row r="354" spans="2:8" s="42" customFormat="1" ht="15.75" x14ac:dyDescent="0.25">
      <c r="B354" s="598" t="s">
        <v>314</v>
      </c>
      <c r="C354" s="442">
        <v>70710</v>
      </c>
      <c r="D354" s="91" t="s">
        <v>315</v>
      </c>
      <c r="E354" s="164" t="s">
        <v>67</v>
      </c>
      <c r="F354" s="671" t="s">
        <v>232</v>
      </c>
      <c r="G354" s="671"/>
      <c r="H354" s="192">
        <f>H355</f>
        <v>3</v>
      </c>
    </row>
    <row r="355" spans="2:8" s="42" customFormat="1" ht="15" x14ac:dyDescent="0.25">
      <c r="B355" s="689"/>
      <c r="C355" s="729"/>
      <c r="D355" s="40" t="s">
        <v>233</v>
      </c>
      <c r="E355" s="44" t="s">
        <v>67</v>
      </c>
      <c r="F355" s="670">
        <v>3</v>
      </c>
      <c r="G355" s="670"/>
      <c r="H355" s="191">
        <f>F355</f>
        <v>3</v>
      </c>
    </row>
    <row r="356" spans="2:8" s="42" customFormat="1" ht="15.75" x14ac:dyDescent="0.25">
      <c r="B356" s="598" t="s">
        <v>316</v>
      </c>
      <c r="C356" s="442">
        <v>70542</v>
      </c>
      <c r="D356" s="91" t="s">
        <v>317</v>
      </c>
      <c r="E356" s="164" t="s">
        <v>63</v>
      </c>
      <c r="F356" s="671" t="s">
        <v>27</v>
      </c>
      <c r="G356" s="671"/>
      <c r="H356" s="192">
        <f>H357</f>
        <v>10</v>
      </c>
    </row>
    <row r="357" spans="2:8" s="42" customFormat="1" ht="15" x14ac:dyDescent="0.25">
      <c r="B357" s="689"/>
      <c r="C357" s="729"/>
      <c r="D357" s="40" t="s">
        <v>233</v>
      </c>
      <c r="E357" s="44" t="s">
        <v>63</v>
      </c>
      <c r="F357" s="670">
        <v>10</v>
      </c>
      <c r="G357" s="670"/>
      <c r="H357" s="191">
        <f>F357</f>
        <v>10</v>
      </c>
    </row>
    <row r="358" spans="2:8" s="42" customFormat="1" ht="15.75" x14ac:dyDescent="0.25">
      <c r="B358" s="598" t="s">
        <v>318</v>
      </c>
      <c r="C358" s="442">
        <v>71380</v>
      </c>
      <c r="D358" s="91" t="s">
        <v>319</v>
      </c>
      <c r="E358" s="164" t="s">
        <v>67</v>
      </c>
      <c r="F358" s="671" t="s">
        <v>232</v>
      </c>
      <c r="G358" s="671"/>
      <c r="H358" s="192">
        <f>H359</f>
        <v>4</v>
      </c>
    </row>
    <row r="359" spans="2:8" s="42" customFormat="1" ht="15" x14ac:dyDescent="0.25">
      <c r="B359" s="689"/>
      <c r="C359" s="729"/>
      <c r="D359" s="40" t="s">
        <v>233</v>
      </c>
      <c r="E359" s="44" t="s">
        <v>67</v>
      </c>
      <c r="F359" s="670">
        <v>4</v>
      </c>
      <c r="G359" s="670"/>
      <c r="H359" s="191">
        <f>F359</f>
        <v>4</v>
      </c>
    </row>
    <row r="360" spans="2:8" s="42" customFormat="1" ht="15.75" x14ac:dyDescent="0.25">
      <c r="B360" s="598" t="s">
        <v>320</v>
      </c>
      <c r="C360" s="442" t="s">
        <v>321</v>
      </c>
      <c r="D360" s="91" t="s">
        <v>322</v>
      </c>
      <c r="E360" s="164" t="s">
        <v>67</v>
      </c>
      <c r="F360" s="671" t="s">
        <v>232</v>
      </c>
      <c r="G360" s="671"/>
      <c r="H360" s="192">
        <f>H361</f>
        <v>5</v>
      </c>
    </row>
    <row r="361" spans="2:8" s="42" customFormat="1" ht="15" x14ac:dyDescent="0.25">
      <c r="B361" s="689"/>
      <c r="C361" s="729"/>
      <c r="D361" s="40" t="s">
        <v>233</v>
      </c>
      <c r="E361" s="44" t="s">
        <v>67</v>
      </c>
      <c r="F361" s="670">
        <v>5</v>
      </c>
      <c r="G361" s="670"/>
      <c r="H361" s="191">
        <f>F361</f>
        <v>5</v>
      </c>
    </row>
    <row r="362" spans="2:8" s="42" customFormat="1" ht="15.75" x14ac:dyDescent="0.25">
      <c r="B362" s="598" t="s">
        <v>323</v>
      </c>
      <c r="C362" s="442" t="s">
        <v>324</v>
      </c>
      <c r="D362" s="91" t="s">
        <v>325</v>
      </c>
      <c r="E362" s="164" t="s">
        <v>67</v>
      </c>
      <c r="F362" s="671" t="s">
        <v>232</v>
      </c>
      <c r="G362" s="671"/>
      <c r="H362" s="192">
        <f>H363</f>
        <v>8</v>
      </c>
    </row>
    <row r="363" spans="2:8" s="42" customFormat="1" ht="15" x14ac:dyDescent="0.25">
      <c r="B363" s="689"/>
      <c r="C363" s="729"/>
      <c r="D363" s="40" t="s">
        <v>233</v>
      </c>
      <c r="E363" s="44" t="s">
        <v>67</v>
      </c>
      <c r="F363" s="670">
        <v>8</v>
      </c>
      <c r="G363" s="670"/>
      <c r="H363" s="191">
        <f>F363</f>
        <v>8</v>
      </c>
    </row>
    <row r="364" spans="2:8" s="42" customFormat="1" ht="15.75" x14ac:dyDescent="0.25">
      <c r="B364" s="740" t="s">
        <v>326</v>
      </c>
      <c r="C364" s="728"/>
      <c r="D364" s="741"/>
      <c r="E364" s="741"/>
      <c r="F364" s="741"/>
      <c r="G364" s="741"/>
      <c r="H364" s="742"/>
    </row>
    <row r="365" spans="2:8" s="42" customFormat="1" ht="15.75" x14ac:dyDescent="0.25">
      <c r="B365" s="610">
        <v>7</v>
      </c>
      <c r="C365" s="430" t="s">
        <v>327</v>
      </c>
      <c r="D365" s="774" t="s">
        <v>328</v>
      </c>
      <c r="E365" s="775"/>
      <c r="F365" s="775"/>
      <c r="G365" s="776"/>
      <c r="H365" s="195" t="s">
        <v>14</v>
      </c>
    </row>
    <row r="366" spans="2:8" s="42" customFormat="1" ht="15.75" x14ac:dyDescent="0.25">
      <c r="B366" s="598" t="s">
        <v>329</v>
      </c>
      <c r="C366" s="442">
        <v>80810</v>
      </c>
      <c r="D366" s="92" t="s">
        <v>330</v>
      </c>
      <c r="E366" s="99" t="s">
        <v>67</v>
      </c>
      <c r="F366" s="671" t="s">
        <v>232</v>
      </c>
      <c r="G366" s="671"/>
      <c r="H366" s="192">
        <f>SUM(H367:H368)</f>
        <v>4</v>
      </c>
    </row>
    <row r="367" spans="2:8" s="42" customFormat="1" ht="15" x14ac:dyDescent="0.25">
      <c r="B367" s="668"/>
      <c r="C367" s="669"/>
      <c r="D367" s="45" t="s">
        <v>331</v>
      </c>
      <c r="E367" s="44" t="s">
        <v>67</v>
      </c>
      <c r="F367" s="670">
        <v>2</v>
      </c>
      <c r="G367" s="670"/>
      <c r="H367" s="199">
        <f>F367</f>
        <v>2</v>
      </c>
    </row>
    <row r="368" spans="2:8" s="42" customFormat="1" ht="15" x14ac:dyDescent="0.25">
      <c r="B368" s="668"/>
      <c r="C368" s="669"/>
      <c r="D368" s="45" t="s">
        <v>332</v>
      </c>
      <c r="E368" s="44" t="s">
        <v>67</v>
      </c>
      <c r="F368" s="670">
        <v>2</v>
      </c>
      <c r="G368" s="670"/>
      <c r="H368" s="199">
        <f>F368</f>
        <v>2</v>
      </c>
    </row>
    <row r="369" spans="2:8" s="42" customFormat="1" ht="15.75" x14ac:dyDescent="0.25">
      <c r="B369" s="598" t="s">
        <v>333</v>
      </c>
      <c r="C369" s="442">
        <v>80811</v>
      </c>
      <c r="D369" s="92" t="s">
        <v>334</v>
      </c>
      <c r="E369" s="99" t="s">
        <v>67</v>
      </c>
      <c r="F369" s="671" t="s">
        <v>232</v>
      </c>
      <c r="G369" s="671"/>
      <c r="H369" s="192">
        <f>SUM(H370:H371)</f>
        <v>4</v>
      </c>
    </row>
    <row r="370" spans="2:8" s="42" customFormat="1" ht="15" x14ac:dyDescent="0.25">
      <c r="B370" s="658"/>
      <c r="C370" s="693"/>
      <c r="D370" s="45" t="s">
        <v>335</v>
      </c>
      <c r="E370" s="44" t="s">
        <v>67</v>
      </c>
      <c r="F370" s="670">
        <v>2</v>
      </c>
      <c r="G370" s="670"/>
      <c r="H370" s="199">
        <f>F370</f>
        <v>2</v>
      </c>
    </row>
    <row r="371" spans="2:8" s="42" customFormat="1" ht="15" x14ac:dyDescent="0.25">
      <c r="B371" s="660"/>
      <c r="C371" s="696"/>
      <c r="D371" s="42" t="s">
        <v>336</v>
      </c>
      <c r="E371" s="44" t="s">
        <v>67</v>
      </c>
      <c r="F371" s="670">
        <v>2</v>
      </c>
      <c r="G371" s="670"/>
      <c r="H371" s="199">
        <f>F371</f>
        <v>2</v>
      </c>
    </row>
    <row r="372" spans="2:8" s="42" customFormat="1" ht="15.75" x14ac:dyDescent="0.25">
      <c r="B372" s="598" t="s">
        <v>337</v>
      </c>
      <c r="C372" s="442">
        <v>80721</v>
      </c>
      <c r="D372" s="92" t="s">
        <v>338</v>
      </c>
      <c r="E372" s="99" t="s">
        <v>67</v>
      </c>
      <c r="F372" s="671" t="s">
        <v>232</v>
      </c>
      <c r="G372" s="671"/>
      <c r="H372" s="192">
        <f>SUM(H373:H376)</f>
        <v>4</v>
      </c>
    </row>
    <row r="373" spans="2:8" s="42" customFormat="1" ht="15" x14ac:dyDescent="0.25">
      <c r="B373" s="668"/>
      <c r="C373" s="669"/>
      <c r="D373" s="45" t="s">
        <v>339</v>
      </c>
      <c r="E373" s="44" t="s">
        <v>67</v>
      </c>
      <c r="F373" s="670">
        <v>1</v>
      </c>
      <c r="G373" s="670"/>
      <c r="H373" s="199">
        <f>F373</f>
        <v>1</v>
      </c>
    </row>
    <row r="374" spans="2:8" s="42" customFormat="1" ht="15" x14ac:dyDescent="0.25">
      <c r="B374" s="668"/>
      <c r="C374" s="669"/>
      <c r="D374" s="45" t="s">
        <v>340</v>
      </c>
      <c r="E374" s="44" t="s">
        <v>67</v>
      </c>
      <c r="F374" s="670">
        <v>1</v>
      </c>
      <c r="G374" s="670"/>
      <c r="H374" s="199">
        <f>F374</f>
        <v>1</v>
      </c>
    </row>
    <row r="375" spans="2:8" s="42" customFormat="1" ht="15" x14ac:dyDescent="0.25">
      <c r="B375" s="668"/>
      <c r="C375" s="669"/>
      <c r="D375" s="45" t="s">
        <v>341</v>
      </c>
      <c r="E375" s="44" t="s">
        <v>67</v>
      </c>
      <c r="F375" s="670">
        <v>1</v>
      </c>
      <c r="G375" s="670"/>
      <c r="H375" s="199">
        <f>F375</f>
        <v>1</v>
      </c>
    </row>
    <row r="376" spans="2:8" s="42" customFormat="1" ht="15" x14ac:dyDescent="0.25">
      <c r="B376" s="668"/>
      <c r="C376" s="669"/>
      <c r="D376" s="45" t="s">
        <v>342</v>
      </c>
      <c r="E376" s="44" t="s">
        <v>67</v>
      </c>
      <c r="F376" s="670">
        <v>1</v>
      </c>
      <c r="G376" s="670"/>
      <c r="H376" s="199">
        <f>F376</f>
        <v>1</v>
      </c>
    </row>
    <row r="377" spans="2:8" s="42" customFormat="1" ht="15.75" x14ac:dyDescent="0.25">
      <c r="B377" s="598" t="s">
        <v>343</v>
      </c>
      <c r="C377" s="442">
        <v>80590</v>
      </c>
      <c r="D377" s="92" t="s">
        <v>344</v>
      </c>
      <c r="E377" s="99" t="s">
        <v>67</v>
      </c>
      <c r="F377" s="671" t="s">
        <v>232</v>
      </c>
      <c r="G377" s="671"/>
      <c r="H377" s="192">
        <f>SUM(H378:H381)</f>
        <v>8</v>
      </c>
    </row>
    <row r="378" spans="2:8" s="42" customFormat="1" ht="15" x14ac:dyDescent="0.25">
      <c r="B378" s="668"/>
      <c r="C378" s="669"/>
      <c r="D378" s="45" t="s">
        <v>341</v>
      </c>
      <c r="E378" s="44" t="s">
        <v>67</v>
      </c>
      <c r="F378" s="670">
        <v>3</v>
      </c>
      <c r="G378" s="670"/>
      <c r="H378" s="199">
        <f>F378</f>
        <v>3</v>
      </c>
    </row>
    <row r="379" spans="2:8" s="42" customFormat="1" ht="15" x14ac:dyDescent="0.25">
      <c r="B379" s="668"/>
      <c r="C379" s="669"/>
      <c r="D379" s="45" t="s">
        <v>342</v>
      </c>
      <c r="E379" s="44" t="s">
        <v>67</v>
      </c>
      <c r="F379" s="670">
        <v>3</v>
      </c>
      <c r="G379" s="670"/>
      <c r="H379" s="199">
        <f>F379</f>
        <v>3</v>
      </c>
    </row>
    <row r="380" spans="2:8" s="42" customFormat="1" ht="15" x14ac:dyDescent="0.25">
      <c r="B380" s="668"/>
      <c r="C380" s="669"/>
      <c r="D380" s="45" t="s">
        <v>339</v>
      </c>
      <c r="E380" s="44" t="s">
        <v>67</v>
      </c>
      <c r="F380" s="670">
        <v>1</v>
      </c>
      <c r="G380" s="670"/>
      <c r="H380" s="199">
        <f>F380</f>
        <v>1</v>
      </c>
    </row>
    <row r="381" spans="2:8" s="42" customFormat="1" ht="15" x14ac:dyDescent="0.25">
      <c r="B381" s="668"/>
      <c r="C381" s="669"/>
      <c r="D381" s="45" t="s">
        <v>340</v>
      </c>
      <c r="E381" s="44" t="s">
        <v>67</v>
      </c>
      <c r="F381" s="670">
        <v>1</v>
      </c>
      <c r="G381" s="670"/>
      <c r="H381" s="199">
        <f>F381</f>
        <v>1</v>
      </c>
    </row>
    <row r="382" spans="2:8" s="42" customFormat="1" ht="15.75" x14ac:dyDescent="0.25">
      <c r="B382" s="598" t="s">
        <v>345</v>
      </c>
      <c r="C382" s="442">
        <v>80572</v>
      </c>
      <c r="D382" s="92" t="s">
        <v>346</v>
      </c>
      <c r="E382" s="99" t="s">
        <v>67</v>
      </c>
      <c r="F382" s="671" t="s">
        <v>232</v>
      </c>
      <c r="G382" s="671"/>
      <c r="H382" s="192">
        <f>SUM(H383:H388)</f>
        <v>10</v>
      </c>
    </row>
    <row r="383" spans="2:8" s="42" customFormat="1" ht="15" x14ac:dyDescent="0.25">
      <c r="B383" s="658"/>
      <c r="C383" s="693"/>
      <c r="D383" s="45" t="s">
        <v>347</v>
      </c>
      <c r="E383" s="44" t="s">
        <v>67</v>
      </c>
      <c r="F383" s="670">
        <v>1</v>
      </c>
      <c r="G383" s="670"/>
      <c r="H383" s="199">
        <f t="shared" ref="H383:H388" si="13">F383</f>
        <v>1</v>
      </c>
    </row>
    <row r="384" spans="2:8" s="42" customFormat="1" ht="15" x14ac:dyDescent="0.25">
      <c r="B384" s="694"/>
      <c r="C384" s="695"/>
      <c r="D384" s="45" t="s">
        <v>341</v>
      </c>
      <c r="E384" s="44" t="s">
        <v>67</v>
      </c>
      <c r="F384" s="670">
        <v>3</v>
      </c>
      <c r="G384" s="670"/>
      <c r="H384" s="199">
        <f t="shared" si="13"/>
        <v>3</v>
      </c>
    </row>
    <row r="385" spans="2:8" s="42" customFormat="1" ht="15" x14ac:dyDescent="0.25">
      <c r="B385" s="694"/>
      <c r="C385" s="695"/>
      <c r="D385" s="45" t="s">
        <v>342</v>
      </c>
      <c r="E385" s="44" t="s">
        <v>67</v>
      </c>
      <c r="F385" s="670">
        <v>3</v>
      </c>
      <c r="G385" s="670"/>
      <c r="H385" s="199">
        <f t="shared" si="13"/>
        <v>3</v>
      </c>
    </row>
    <row r="386" spans="2:8" s="42" customFormat="1" ht="15" x14ac:dyDescent="0.25">
      <c r="B386" s="694"/>
      <c r="C386" s="695"/>
      <c r="D386" s="45" t="s">
        <v>347</v>
      </c>
      <c r="E386" s="44" t="s">
        <v>67</v>
      </c>
      <c r="F386" s="670">
        <v>1</v>
      </c>
      <c r="G386" s="670"/>
      <c r="H386" s="199">
        <f t="shared" si="13"/>
        <v>1</v>
      </c>
    </row>
    <row r="387" spans="2:8" s="42" customFormat="1" ht="15" x14ac:dyDescent="0.25">
      <c r="B387" s="694"/>
      <c r="C387" s="695"/>
      <c r="D387" s="45" t="s">
        <v>339</v>
      </c>
      <c r="E387" s="44" t="s">
        <v>67</v>
      </c>
      <c r="F387" s="670">
        <v>1</v>
      </c>
      <c r="G387" s="670"/>
      <c r="H387" s="199">
        <f t="shared" si="13"/>
        <v>1</v>
      </c>
    </row>
    <row r="388" spans="2:8" s="42" customFormat="1" ht="15" x14ac:dyDescent="0.25">
      <c r="B388" s="694"/>
      <c r="C388" s="695"/>
      <c r="D388" s="45" t="s">
        <v>340</v>
      </c>
      <c r="E388" s="44" t="s">
        <v>67</v>
      </c>
      <c r="F388" s="670">
        <v>1</v>
      </c>
      <c r="G388" s="670"/>
      <c r="H388" s="199">
        <f t="shared" si="13"/>
        <v>1</v>
      </c>
    </row>
    <row r="389" spans="2:8" s="42" customFormat="1" ht="15.75" x14ac:dyDescent="0.25">
      <c r="B389" s="598" t="s">
        <v>348</v>
      </c>
      <c r="C389" s="442">
        <v>80656</v>
      </c>
      <c r="D389" s="92" t="s">
        <v>349</v>
      </c>
      <c r="E389" s="99" t="s">
        <v>67</v>
      </c>
      <c r="F389" s="671" t="s">
        <v>232</v>
      </c>
      <c r="G389" s="671"/>
      <c r="H389" s="192">
        <f>SUM(H390:H397)</f>
        <v>12</v>
      </c>
    </row>
    <row r="390" spans="2:8" s="42" customFormat="1" ht="15" x14ac:dyDescent="0.25">
      <c r="B390" s="767"/>
      <c r="C390" s="768"/>
      <c r="D390" s="45" t="s">
        <v>64</v>
      </c>
      <c r="E390" s="44" t="s">
        <v>67</v>
      </c>
      <c r="F390" s="670">
        <v>5</v>
      </c>
      <c r="G390" s="670"/>
      <c r="H390" s="199">
        <f t="shared" ref="H390:H396" si="14">F390</f>
        <v>5</v>
      </c>
    </row>
    <row r="391" spans="2:8" s="42" customFormat="1" ht="15" x14ac:dyDescent="0.25">
      <c r="B391" s="769"/>
      <c r="C391" s="770"/>
      <c r="D391" s="45" t="s">
        <v>29</v>
      </c>
      <c r="E391" s="44" t="s">
        <v>67</v>
      </c>
      <c r="F391" s="670">
        <v>1</v>
      </c>
      <c r="G391" s="670"/>
      <c r="H391" s="199">
        <f t="shared" si="14"/>
        <v>1</v>
      </c>
    </row>
    <row r="392" spans="2:8" s="42" customFormat="1" ht="15" x14ac:dyDescent="0.25">
      <c r="B392" s="769"/>
      <c r="C392" s="770"/>
      <c r="D392" s="45" t="s">
        <v>350</v>
      </c>
      <c r="E392" s="44" t="s">
        <v>67</v>
      </c>
      <c r="F392" s="670">
        <v>1</v>
      </c>
      <c r="G392" s="670"/>
      <c r="H392" s="199">
        <f t="shared" si="14"/>
        <v>1</v>
      </c>
    </row>
    <row r="393" spans="2:8" s="42" customFormat="1" ht="15" x14ac:dyDescent="0.25">
      <c r="B393" s="769"/>
      <c r="C393" s="770"/>
      <c r="D393" s="45" t="s">
        <v>351</v>
      </c>
      <c r="E393" s="44" t="s">
        <v>67</v>
      </c>
      <c r="F393" s="670">
        <v>1</v>
      </c>
      <c r="G393" s="670"/>
      <c r="H393" s="199">
        <f t="shared" si="14"/>
        <v>1</v>
      </c>
    </row>
    <row r="394" spans="2:8" s="42" customFormat="1" ht="15" x14ac:dyDescent="0.25">
      <c r="B394" s="769"/>
      <c r="C394" s="770"/>
      <c r="D394" s="45" t="s">
        <v>352</v>
      </c>
      <c r="E394" s="44" t="s">
        <v>67</v>
      </c>
      <c r="F394" s="670">
        <v>1</v>
      </c>
      <c r="G394" s="670"/>
      <c r="H394" s="199">
        <f t="shared" si="14"/>
        <v>1</v>
      </c>
    </row>
    <row r="395" spans="2:8" s="42" customFormat="1" ht="15" x14ac:dyDescent="0.25">
      <c r="B395" s="769"/>
      <c r="C395" s="770"/>
      <c r="D395" s="45" t="s">
        <v>353</v>
      </c>
      <c r="E395" s="44" t="s">
        <v>67</v>
      </c>
      <c r="F395" s="670">
        <v>1</v>
      </c>
      <c r="G395" s="670"/>
      <c r="H395" s="199">
        <f t="shared" si="14"/>
        <v>1</v>
      </c>
    </row>
    <row r="396" spans="2:8" s="42" customFormat="1" ht="15" x14ac:dyDescent="0.25">
      <c r="B396" s="769"/>
      <c r="C396" s="770"/>
      <c r="D396" s="45" t="s">
        <v>354</v>
      </c>
      <c r="E396" s="44" t="s">
        <v>67</v>
      </c>
      <c r="F396" s="691">
        <v>1</v>
      </c>
      <c r="G396" s="684"/>
      <c r="H396" s="199">
        <f t="shared" si="14"/>
        <v>1</v>
      </c>
    </row>
    <row r="397" spans="2:8" s="42" customFormat="1" ht="15" x14ac:dyDescent="0.25">
      <c r="B397" s="771"/>
      <c r="C397" s="772"/>
      <c r="D397" s="45" t="s">
        <v>355</v>
      </c>
      <c r="E397" s="44" t="s">
        <v>67</v>
      </c>
      <c r="F397" s="738">
        <v>1</v>
      </c>
      <c r="G397" s="773"/>
      <c r="H397" s="199">
        <f>F397</f>
        <v>1</v>
      </c>
    </row>
    <row r="398" spans="2:8" s="42" customFormat="1" ht="15.75" x14ac:dyDescent="0.25">
      <c r="B398" s="598" t="s">
        <v>356</v>
      </c>
      <c r="C398" s="442">
        <v>80556</v>
      </c>
      <c r="D398" s="92" t="s">
        <v>357</v>
      </c>
      <c r="E398" s="99" t="s">
        <v>67</v>
      </c>
      <c r="F398" s="671" t="s">
        <v>232</v>
      </c>
      <c r="G398" s="671"/>
      <c r="H398" s="192">
        <f>SUM(H399:H411)</f>
        <v>28</v>
      </c>
    </row>
    <row r="399" spans="2:8" s="42" customFormat="1" ht="15" x14ac:dyDescent="0.25">
      <c r="B399" s="829"/>
      <c r="C399" s="830"/>
      <c r="D399" s="45" t="s">
        <v>64</v>
      </c>
      <c r="E399" s="44" t="s">
        <v>67</v>
      </c>
      <c r="F399" s="670">
        <v>5</v>
      </c>
      <c r="G399" s="670"/>
      <c r="H399" s="199">
        <f t="shared" ref="H399" si="15">F399</f>
        <v>5</v>
      </c>
    </row>
    <row r="400" spans="2:8" s="42" customFormat="1" ht="15" x14ac:dyDescent="0.25">
      <c r="B400" s="831"/>
      <c r="C400" s="832"/>
      <c r="D400" s="45" t="s">
        <v>339</v>
      </c>
      <c r="E400" s="44" t="s">
        <v>67</v>
      </c>
      <c r="F400" s="670">
        <v>2</v>
      </c>
      <c r="G400" s="670"/>
      <c r="H400" s="199">
        <f>F400</f>
        <v>2</v>
      </c>
    </row>
    <row r="401" spans="2:8" s="42" customFormat="1" ht="15" x14ac:dyDescent="0.25">
      <c r="B401" s="831"/>
      <c r="C401" s="832"/>
      <c r="D401" s="45" t="s">
        <v>340</v>
      </c>
      <c r="E401" s="44" t="s">
        <v>67</v>
      </c>
      <c r="F401" s="670">
        <v>2</v>
      </c>
      <c r="G401" s="670"/>
      <c r="H401" s="199">
        <f>F401</f>
        <v>2</v>
      </c>
    </row>
    <row r="402" spans="2:8" s="42" customFormat="1" ht="15" x14ac:dyDescent="0.25">
      <c r="B402" s="831"/>
      <c r="C402" s="832"/>
      <c r="D402" s="45" t="s">
        <v>341</v>
      </c>
      <c r="E402" s="44" t="s">
        <v>67</v>
      </c>
      <c r="F402" s="670">
        <v>5</v>
      </c>
      <c r="G402" s="670"/>
      <c r="H402" s="199">
        <f t="shared" ref="H402:H411" si="16">F402</f>
        <v>5</v>
      </c>
    </row>
    <row r="403" spans="2:8" s="42" customFormat="1" ht="15" x14ac:dyDescent="0.25">
      <c r="B403" s="831"/>
      <c r="C403" s="832"/>
      <c r="D403" s="45" t="s">
        <v>342</v>
      </c>
      <c r="E403" s="44" t="s">
        <v>67</v>
      </c>
      <c r="F403" s="670">
        <v>5</v>
      </c>
      <c r="G403" s="670"/>
      <c r="H403" s="199">
        <f t="shared" si="16"/>
        <v>5</v>
      </c>
    </row>
    <row r="404" spans="2:8" s="42" customFormat="1" ht="15" x14ac:dyDescent="0.25">
      <c r="B404" s="831"/>
      <c r="C404" s="832"/>
      <c r="D404" s="45" t="s">
        <v>347</v>
      </c>
      <c r="E404" s="44" t="s">
        <v>67</v>
      </c>
      <c r="F404" s="670">
        <v>2</v>
      </c>
      <c r="G404" s="670"/>
      <c r="H404" s="199">
        <f t="shared" si="16"/>
        <v>2</v>
      </c>
    </row>
    <row r="405" spans="2:8" s="42" customFormat="1" ht="15" x14ac:dyDescent="0.25">
      <c r="B405" s="831"/>
      <c r="C405" s="832"/>
      <c r="D405" s="45" t="s">
        <v>29</v>
      </c>
      <c r="E405" s="44" t="s">
        <v>67</v>
      </c>
      <c r="F405" s="670">
        <v>1</v>
      </c>
      <c r="G405" s="670"/>
      <c r="H405" s="199">
        <f t="shared" si="16"/>
        <v>1</v>
      </c>
    </row>
    <row r="406" spans="2:8" s="42" customFormat="1" ht="15" x14ac:dyDescent="0.25">
      <c r="B406" s="831"/>
      <c r="C406" s="832"/>
      <c r="D406" s="45" t="s">
        <v>350</v>
      </c>
      <c r="E406" s="44" t="s">
        <v>67</v>
      </c>
      <c r="F406" s="670">
        <v>1</v>
      </c>
      <c r="G406" s="670"/>
      <c r="H406" s="199">
        <f t="shared" si="16"/>
        <v>1</v>
      </c>
    </row>
    <row r="407" spans="2:8" s="42" customFormat="1" ht="15" x14ac:dyDescent="0.25">
      <c r="B407" s="831"/>
      <c r="C407" s="832"/>
      <c r="D407" s="45" t="s">
        <v>351</v>
      </c>
      <c r="E407" s="44" t="s">
        <v>67</v>
      </c>
      <c r="F407" s="670">
        <v>1</v>
      </c>
      <c r="G407" s="670"/>
      <c r="H407" s="199">
        <f t="shared" si="16"/>
        <v>1</v>
      </c>
    </row>
    <row r="408" spans="2:8" s="42" customFormat="1" ht="15" x14ac:dyDescent="0.25">
      <c r="B408" s="831"/>
      <c r="C408" s="832"/>
      <c r="D408" s="45" t="s">
        <v>352</v>
      </c>
      <c r="E408" s="44" t="s">
        <v>67</v>
      </c>
      <c r="F408" s="670">
        <v>1</v>
      </c>
      <c r="G408" s="670"/>
      <c r="H408" s="199">
        <f t="shared" si="16"/>
        <v>1</v>
      </c>
    </row>
    <row r="409" spans="2:8" s="42" customFormat="1" ht="15" x14ac:dyDescent="0.25">
      <c r="B409" s="831"/>
      <c r="C409" s="832"/>
      <c r="D409" s="45" t="s">
        <v>353</v>
      </c>
      <c r="E409" s="44" t="s">
        <v>67</v>
      </c>
      <c r="F409" s="670">
        <v>1</v>
      </c>
      <c r="G409" s="670"/>
      <c r="H409" s="199">
        <f t="shared" si="16"/>
        <v>1</v>
      </c>
    </row>
    <row r="410" spans="2:8" s="42" customFormat="1" ht="15" x14ac:dyDescent="0.25">
      <c r="B410" s="831"/>
      <c r="C410" s="832"/>
      <c r="D410" s="45" t="s">
        <v>354</v>
      </c>
      <c r="E410" s="44" t="s">
        <v>67</v>
      </c>
      <c r="F410" s="670">
        <v>1</v>
      </c>
      <c r="G410" s="670"/>
      <c r="H410" s="199">
        <f t="shared" si="16"/>
        <v>1</v>
      </c>
    </row>
    <row r="411" spans="2:8" s="42" customFormat="1" ht="15" x14ac:dyDescent="0.25">
      <c r="B411" s="833"/>
      <c r="C411" s="834"/>
      <c r="D411" s="45" t="s">
        <v>355</v>
      </c>
      <c r="E411" s="44" t="s">
        <v>67</v>
      </c>
      <c r="F411" s="670">
        <v>1</v>
      </c>
      <c r="G411" s="670"/>
      <c r="H411" s="199">
        <f t="shared" si="16"/>
        <v>1</v>
      </c>
    </row>
    <row r="412" spans="2:8" s="42" customFormat="1" ht="15.75" x14ac:dyDescent="0.25">
      <c r="B412" s="598" t="s">
        <v>358</v>
      </c>
      <c r="C412" s="442">
        <v>80561</v>
      </c>
      <c r="D412" s="92" t="s">
        <v>359</v>
      </c>
      <c r="E412" s="99" t="s">
        <v>67</v>
      </c>
      <c r="F412" s="671" t="s">
        <v>232</v>
      </c>
      <c r="G412" s="671"/>
      <c r="H412" s="192">
        <f>SUM(H413:H417)</f>
        <v>9</v>
      </c>
    </row>
    <row r="413" spans="2:8" s="42" customFormat="1" ht="15" x14ac:dyDescent="0.25">
      <c r="B413" s="652"/>
      <c r="C413" s="673"/>
      <c r="D413" s="45" t="s">
        <v>347</v>
      </c>
      <c r="E413" s="44" t="s">
        <v>67</v>
      </c>
      <c r="F413" s="691">
        <v>1</v>
      </c>
      <c r="G413" s="684"/>
      <c r="H413" s="199">
        <f>F413</f>
        <v>1</v>
      </c>
    </row>
    <row r="414" spans="2:8" s="42" customFormat="1" ht="15" x14ac:dyDescent="0.25">
      <c r="B414" s="654"/>
      <c r="C414" s="675"/>
      <c r="D414" s="45" t="s">
        <v>339</v>
      </c>
      <c r="E414" s="44" t="s">
        <v>67</v>
      </c>
      <c r="F414" s="691">
        <v>1</v>
      </c>
      <c r="G414" s="684"/>
      <c r="H414" s="199">
        <f>F414</f>
        <v>1</v>
      </c>
    </row>
    <row r="415" spans="2:8" s="42" customFormat="1" ht="15" x14ac:dyDescent="0.25">
      <c r="B415" s="654"/>
      <c r="C415" s="675"/>
      <c r="D415" s="45" t="s">
        <v>340</v>
      </c>
      <c r="E415" s="44" t="s">
        <v>67</v>
      </c>
      <c r="F415" s="691">
        <v>1</v>
      </c>
      <c r="G415" s="684"/>
      <c r="H415" s="199">
        <f>F415</f>
        <v>1</v>
      </c>
    </row>
    <row r="416" spans="2:8" s="42" customFormat="1" ht="15" x14ac:dyDescent="0.25">
      <c r="B416" s="654"/>
      <c r="C416" s="675"/>
      <c r="D416" s="45" t="s">
        <v>341</v>
      </c>
      <c r="E416" s="44" t="s">
        <v>67</v>
      </c>
      <c r="F416" s="670">
        <v>3</v>
      </c>
      <c r="G416" s="670"/>
      <c r="H416" s="199">
        <f>F416</f>
        <v>3</v>
      </c>
    </row>
    <row r="417" spans="2:8" s="42" customFormat="1" ht="15" x14ac:dyDescent="0.25">
      <c r="B417" s="656"/>
      <c r="C417" s="674"/>
      <c r="D417" s="45" t="s">
        <v>342</v>
      </c>
      <c r="E417" s="44" t="s">
        <v>67</v>
      </c>
      <c r="F417" s="670">
        <v>3</v>
      </c>
      <c r="G417" s="670"/>
      <c r="H417" s="199">
        <f>F417</f>
        <v>3</v>
      </c>
    </row>
    <row r="418" spans="2:8" s="42" customFormat="1" ht="15.75" x14ac:dyDescent="0.25">
      <c r="B418" s="598" t="s">
        <v>360</v>
      </c>
      <c r="C418" s="442">
        <v>80671</v>
      </c>
      <c r="D418" s="92" t="s">
        <v>361</v>
      </c>
      <c r="E418" s="99" t="s">
        <v>67</v>
      </c>
      <c r="F418" s="685" t="s">
        <v>232</v>
      </c>
      <c r="G418" s="686"/>
      <c r="H418" s="192">
        <f>SUM(H419:H426)</f>
        <v>12</v>
      </c>
    </row>
    <row r="419" spans="2:8" s="42" customFormat="1" ht="15" x14ac:dyDescent="0.25">
      <c r="B419" s="652"/>
      <c r="C419" s="673"/>
      <c r="D419" s="45" t="s">
        <v>64</v>
      </c>
      <c r="E419" s="44" t="s">
        <v>67</v>
      </c>
      <c r="F419" s="670">
        <v>5</v>
      </c>
      <c r="G419" s="670"/>
      <c r="H419" s="199">
        <f t="shared" ref="H419:H425" si="17">F419</f>
        <v>5</v>
      </c>
    </row>
    <row r="420" spans="2:8" s="42" customFormat="1" ht="15" x14ac:dyDescent="0.25">
      <c r="B420" s="654"/>
      <c r="C420" s="675"/>
      <c r="D420" s="45" t="s">
        <v>29</v>
      </c>
      <c r="E420" s="44" t="s">
        <v>67</v>
      </c>
      <c r="F420" s="670">
        <v>1</v>
      </c>
      <c r="G420" s="670"/>
      <c r="H420" s="199">
        <f t="shared" si="17"/>
        <v>1</v>
      </c>
    </row>
    <row r="421" spans="2:8" s="42" customFormat="1" ht="15" x14ac:dyDescent="0.25">
      <c r="B421" s="654"/>
      <c r="C421" s="675"/>
      <c r="D421" s="45" t="s">
        <v>350</v>
      </c>
      <c r="E421" s="44" t="s">
        <v>67</v>
      </c>
      <c r="F421" s="670">
        <v>1</v>
      </c>
      <c r="G421" s="670"/>
      <c r="H421" s="199">
        <f t="shared" si="17"/>
        <v>1</v>
      </c>
    </row>
    <row r="422" spans="2:8" s="42" customFormat="1" ht="15" x14ac:dyDescent="0.25">
      <c r="B422" s="654"/>
      <c r="C422" s="675"/>
      <c r="D422" s="45" t="s">
        <v>351</v>
      </c>
      <c r="E422" s="44" t="s">
        <v>67</v>
      </c>
      <c r="F422" s="670">
        <v>1</v>
      </c>
      <c r="G422" s="670"/>
      <c r="H422" s="199">
        <f t="shared" si="17"/>
        <v>1</v>
      </c>
    </row>
    <row r="423" spans="2:8" s="42" customFormat="1" ht="15" x14ac:dyDescent="0.25">
      <c r="B423" s="654"/>
      <c r="C423" s="675"/>
      <c r="D423" s="45" t="s">
        <v>352</v>
      </c>
      <c r="E423" s="44" t="s">
        <v>67</v>
      </c>
      <c r="F423" s="670">
        <v>1</v>
      </c>
      <c r="G423" s="670"/>
      <c r="H423" s="199">
        <f t="shared" si="17"/>
        <v>1</v>
      </c>
    </row>
    <row r="424" spans="2:8" s="42" customFormat="1" ht="15" x14ac:dyDescent="0.25">
      <c r="B424" s="654"/>
      <c r="C424" s="675"/>
      <c r="D424" s="45" t="s">
        <v>353</v>
      </c>
      <c r="E424" s="44" t="s">
        <v>67</v>
      </c>
      <c r="F424" s="670">
        <v>1</v>
      </c>
      <c r="G424" s="670"/>
      <c r="H424" s="199">
        <f t="shared" si="17"/>
        <v>1</v>
      </c>
    </row>
    <row r="425" spans="2:8" s="42" customFormat="1" ht="15" x14ac:dyDescent="0.25">
      <c r="B425" s="654"/>
      <c r="C425" s="675"/>
      <c r="D425" s="45" t="s">
        <v>354</v>
      </c>
      <c r="E425" s="44" t="s">
        <v>67</v>
      </c>
      <c r="F425" s="691">
        <v>1</v>
      </c>
      <c r="G425" s="684"/>
      <c r="H425" s="199">
        <f t="shared" si="17"/>
        <v>1</v>
      </c>
    </row>
    <row r="426" spans="2:8" s="42" customFormat="1" ht="15" x14ac:dyDescent="0.25">
      <c r="B426" s="656"/>
      <c r="C426" s="674"/>
      <c r="D426" s="45" t="s">
        <v>355</v>
      </c>
      <c r="E426" s="44" t="s">
        <v>67</v>
      </c>
      <c r="F426" s="738">
        <v>1</v>
      </c>
      <c r="G426" s="773"/>
      <c r="H426" s="199">
        <f>F426</f>
        <v>1</v>
      </c>
    </row>
    <row r="427" spans="2:8" s="42" customFormat="1" ht="15.75" x14ac:dyDescent="0.25">
      <c r="B427" s="598" t="s">
        <v>362</v>
      </c>
      <c r="C427" s="442">
        <v>80532</v>
      </c>
      <c r="D427" s="92" t="s">
        <v>363</v>
      </c>
      <c r="E427" s="99" t="s">
        <v>67</v>
      </c>
      <c r="F427" s="671" t="s">
        <v>232</v>
      </c>
      <c r="G427" s="671"/>
      <c r="H427" s="192">
        <f>SUM(H428:H434)</f>
        <v>9</v>
      </c>
    </row>
    <row r="428" spans="2:8" s="42" customFormat="1" ht="15" x14ac:dyDescent="0.25">
      <c r="B428" s="658"/>
      <c r="C428" s="693"/>
      <c r="D428" s="45" t="s">
        <v>347</v>
      </c>
      <c r="E428" s="44" t="s">
        <v>67</v>
      </c>
      <c r="F428" s="691">
        <v>1</v>
      </c>
      <c r="G428" s="684"/>
      <c r="H428" s="199">
        <f t="shared" ref="H428:H434" si="18">F428</f>
        <v>1</v>
      </c>
    </row>
    <row r="429" spans="2:8" s="42" customFormat="1" ht="15" x14ac:dyDescent="0.25">
      <c r="B429" s="694"/>
      <c r="C429" s="695"/>
      <c r="D429" s="45" t="s">
        <v>339</v>
      </c>
      <c r="E429" s="44" t="s">
        <v>67</v>
      </c>
      <c r="F429" s="691">
        <v>1</v>
      </c>
      <c r="G429" s="684"/>
      <c r="H429" s="199">
        <f t="shared" si="18"/>
        <v>1</v>
      </c>
    </row>
    <row r="430" spans="2:8" s="42" customFormat="1" ht="15" x14ac:dyDescent="0.25">
      <c r="B430" s="694"/>
      <c r="C430" s="695"/>
      <c r="D430" s="45" t="s">
        <v>340</v>
      </c>
      <c r="E430" s="44" t="s">
        <v>67</v>
      </c>
      <c r="F430" s="691">
        <v>1</v>
      </c>
      <c r="G430" s="684"/>
      <c r="H430" s="199">
        <f t="shared" si="18"/>
        <v>1</v>
      </c>
    </row>
    <row r="431" spans="2:8" s="42" customFormat="1" ht="15" x14ac:dyDescent="0.25">
      <c r="B431" s="694"/>
      <c r="C431" s="695"/>
      <c r="D431" s="45" t="s">
        <v>341</v>
      </c>
      <c r="E431" s="44" t="s">
        <v>67</v>
      </c>
      <c r="F431" s="670">
        <v>2</v>
      </c>
      <c r="G431" s="670"/>
      <c r="H431" s="199">
        <f t="shared" si="18"/>
        <v>2</v>
      </c>
    </row>
    <row r="432" spans="2:8" s="42" customFormat="1" ht="15" x14ac:dyDescent="0.25">
      <c r="B432" s="694"/>
      <c r="C432" s="695"/>
      <c r="D432" s="45" t="s">
        <v>342</v>
      </c>
      <c r="E432" s="44" t="s">
        <v>67</v>
      </c>
      <c r="F432" s="670">
        <v>2</v>
      </c>
      <c r="G432" s="670"/>
      <c r="H432" s="199">
        <f t="shared" si="18"/>
        <v>2</v>
      </c>
    </row>
    <row r="433" spans="2:8" s="42" customFormat="1" ht="15" x14ac:dyDescent="0.25">
      <c r="B433" s="694"/>
      <c r="C433" s="695"/>
      <c r="D433" s="45" t="s">
        <v>354</v>
      </c>
      <c r="E433" s="44" t="s">
        <v>67</v>
      </c>
      <c r="F433" s="691">
        <v>1</v>
      </c>
      <c r="G433" s="684"/>
      <c r="H433" s="199">
        <f t="shared" si="18"/>
        <v>1</v>
      </c>
    </row>
    <row r="434" spans="2:8" s="42" customFormat="1" ht="15" x14ac:dyDescent="0.25">
      <c r="B434" s="694"/>
      <c r="C434" s="695"/>
      <c r="D434" s="45" t="s">
        <v>355</v>
      </c>
      <c r="E434" s="44" t="s">
        <v>67</v>
      </c>
      <c r="F434" s="691">
        <v>1</v>
      </c>
      <c r="G434" s="684"/>
      <c r="H434" s="199">
        <f t="shared" si="18"/>
        <v>1</v>
      </c>
    </row>
    <row r="435" spans="2:8" s="42" customFormat="1" ht="15.75" x14ac:dyDescent="0.25">
      <c r="B435" s="598" t="s">
        <v>364</v>
      </c>
      <c r="C435" s="442">
        <v>80730</v>
      </c>
      <c r="D435" s="92" t="s">
        <v>365</v>
      </c>
      <c r="E435" s="99" t="s">
        <v>67</v>
      </c>
      <c r="F435" s="671" t="s">
        <v>232</v>
      </c>
      <c r="G435" s="671"/>
      <c r="H435" s="192">
        <f>SUM(H436:H441)</f>
        <v>8</v>
      </c>
    </row>
    <row r="436" spans="2:8" s="42" customFormat="1" ht="15" x14ac:dyDescent="0.25">
      <c r="B436" s="658"/>
      <c r="C436" s="693"/>
      <c r="D436" s="45" t="s">
        <v>339</v>
      </c>
      <c r="E436" s="44" t="s">
        <v>67</v>
      </c>
      <c r="F436" s="691">
        <v>1</v>
      </c>
      <c r="G436" s="684"/>
      <c r="H436" s="199">
        <f t="shared" ref="H436:H441" si="19">F436</f>
        <v>1</v>
      </c>
    </row>
    <row r="437" spans="2:8" s="42" customFormat="1" ht="15" x14ac:dyDescent="0.25">
      <c r="B437" s="694"/>
      <c r="C437" s="695"/>
      <c r="D437" s="45" t="s">
        <v>340</v>
      </c>
      <c r="E437" s="44" t="s">
        <v>67</v>
      </c>
      <c r="F437" s="691">
        <v>1</v>
      </c>
      <c r="G437" s="684"/>
      <c r="H437" s="199">
        <f t="shared" si="19"/>
        <v>1</v>
      </c>
    </row>
    <row r="438" spans="2:8" s="42" customFormat="1" ht="15" x14ac:dyDescent="0.25">
      <c r="B438" s="694"/>
      <c r="C438" s="695"/>
      <c r="D438" s="45" t="s">
        <v>341</v>
      </c>
      <c r="E438" s="44" t="s">
        <v>67</v>
      </c>
      <c r="F438" s="670">
        <v>1</v>
      </c>
      <c r="G438" s="670"/>
      <c r="H438" s="199">
        <f t="shared" si="19"/>
        <v>1</v>
      </c>
    </row>
    <row r="439" spans="2:8" s="42" customFormat="1" ht="15" x14ac:dyDescent="0.25">
      <c r="B439" s="694"/>
      <c r="C439" s="695"/>
      <c r="D439" s="45" t="s">
        <v>342</v>
      </c>
      <c r="E439" s="44" t="s">
        <v>67</v>
      </c>
      <c r="F439" s="670">
        <v>1</v>
      </c>
      <c r="G439" s="670"/>
      <c r="H439" s="199">
        <f t="shared" si="19"/>
        <v>1</v>
      </c>
    </row>
    <row r="440" spans="2:8" s="42" customFormat="1" ht="15" x14ac:dyDescent="0.25">
      <c r="B440" s="694"/>
      <c r="C440" s="695"/>
      <c r="D440" s="45" t="s">
        <v>354</v>
      </c>
      <c r="E440" s="44" t="s">
        <v>67</v>
      </c>
      <c r="F440" s="691">
        <v>2</v>
      </c>
      <c r="G440" s="684"/>
      <c r="H440" s="199">
        <f t="shared" si="19"/>
        <v>2</v>
      </c>
    </row>
    <row r="441" spans="2:8" s="42" customFormat="1" ht="15" x14ac:dyDescent="0.25">
      <c r="B441" s="694"/>
      <c r="C441" s="695"/>
      <c r="D441" s="45" t="s">
        <v>355</v>
      </c>
      <c r="E441" s="44" t="s">
        <v>67</v>
      </c>
      <c r="F441" s="691">
        <v>2</v>
      </c>
      <c r="G441" s="684"/>
      <c r="H441" s="199">
        <f t="shared" si="19"/>
        <v>2</v>
      </c>
    </row>
    <row r="442" spans="2:8" s="42" customFormat="1" ht="31.5" x14ac:dyDescent="0.25">
      <c r="B442" s="598" t="s">
        <v>366</v>
      </c>
      <c r="C442" s="442" t="s">
        <v>367</v>
      </c>
      <c r="D442" s="60" t="s">
        <v>368</v>
      </c>
      <c r="E442" s="99" t="s">
        <v>67</v>
      </c>
      <c r="F442" s="671" t="s">
        <v>232</v>
      </c>
      <c r="G442" s="671"/>
      <c r="H442" s="192">
        <f>SUM(H443:H455)</f>
        <v>17</v>
      </c>
    </row>
    <row r="443" spans="2:8" s="42" customFormat="1" ht="15" x14ac:dyDescent="0.25">
      <c r="B443" s="658"/>
      <c r="C443" s="693"/>
      <c r="D443" s="45" t="s">
        <v>347</v>
      </c>
      <c r="E443" s="44" t="s">
        <v>67</v>
      </c>
      <c r="F443" s="691">
        <v>1</v>
      </c>
      <c r="G443" s="684"/>
      <c r="H443" s="199">
        <f t="shared" ref="H443:H455" si="20">F443</f>
        <v>1</v>
      </c>
    </row>
    <row r="444" spans="2:8" s="42" customFormat="1" ht="15" x14ac:dyDescent="0.25">
      <c r="B444" s="694"/>
      <c r="C444" s="695"/>
      <c r="D444" s="45" t="s">
        <v>339</v>
      </c>
      <c r="E444" s="44" t="s">
        <v>67</v>
      </c>
      <c r="F444" s="691">
        <v>1</v>
      </c>
      <c r="G444" s="684"/>
      <c r="H444" s="199">
        <f t="shared" si="20"/>
        <v>1</v>
      </c>
    </row>
    <row r="445" spans="2:8" s="42" customFormat="1" ht="15" x14ac:dyDescent="0.25">
      <c r="B445" s="694"/>
      <c r="C445" s="695"/>
      <c r="D445" s="45" t="s">
        <v>340</v>
      </c>
      <c r="E445" s="44" t="s">
        <v>67</v>
      </c>
      <c r="F445" s="691">
        <v>1</v>
      </c>
      <c r="G445" s="684"/>
      <c r="H445" s="199">
        <f t="shared" si="20"/>
        <v>1</v>
      </c>
    </row>
    <row r="446" spans="2:8" s="42" customFormat="1" ht="15" x14ac:dyDescent="0.25">
      <c r="B446" s="694"/>
      <c r="C446" s="695"/>
      <c r="D446" s="45" t="s">
        <v>341</v>
      </c>
      <c r="E446" s="44" t="s">
        <v>67</v>
      </c>
      <c r="F446" s="670">
        <v>2</v>
      </c>
      <c r="G446" s="670"/>
      <c r="H446" s="199">
        <f t="shared" si="20"/>
        <v>2</v>
      </c>
    </row>
    <row r="447" spans="2:8" s="42" customFormat="1" ht="15" x14ac:dyDescent="0.25">
      <c r="B447" s="694"/>
      <c r="C447" s="695"/>
      <c r="D447" s="45" t="s">
        <v>342</v>
      </c>
      <c r="E447" s="44" t="s">
        <v>67</v>
      </c>
      <c r="F447" s="670">
        <v>2</v>
      </c>
      <c r="G447" s="670"/>
      <c r="H447" s="199">
        <f t="shared" si="20"/>
        <v>2</v>
      </c>
    </row>
    <row r="448" spans="2:8" s="42" customFormat="1" ht="15" x14ac:dyDescent="0.25">
      <c r="B448" s="694"/>
      <c r="C448" s="695"/>
      <c r="D448" s="45" t="s">
        <v>354</v>
      </c>
      <c r="E448" s="44" t="s">
        <v>67</v>
      </c>
      <c r="F448" s="691">
        <v>2</v>
      </c>
      <c r="G448" s="684"/>
      <c r="H448" s="199">
        <f t="shared" si="20"/>
        <v>2</v>
      </c>
    </row>
    <row r="449" spans="2:8" s="42" customFormat="1" ht="15" x14ac:dyDescent="0.25">
      <c r="B449" s="694"/>
      <c r="C449" s="695"/>
      <c r="D449" s="45" t="s">
        <v>355</v>
      </c>
      <c r="E449" s="44" t="s">
        <v>67</v>
      </c>
      <c r="F449" s="691">
        <v>2</v>
      </c>
      <c r="G449" s="684"/>
      <c r="H449" s="199">
        <f t="shared" si="20"/>
        <v>2</v>
      </c>
    </row>
    <row r="450" spans="2:8" s="42" customFormat="1" ht="15" x14ac:dyDescent="0.25">
      <c r="B450" s="694"/>
      <c r="C450" s="695"/>
      <c r="D450" s="45" t="s">
        <v>347</v>
      </c>
      <c r="E450" s="44" t="s">
        <v>67</v>
      </c>
      <c r="F450" s="691">
        <v>1</v>
      </c>
      <c r="G450" s="684"/>
      <c r="H450" s="199">
        <f t="shared" si="20"/>
        <v>1</v>
      </c>
    </row>
    <row r="451" spans="2:8" s="42" customFormat="1" ht="15" x14ac:dyDescent="0.25">
      <c r="B451" s="694"/>
      <c r="C451" s="695"/>
      <c r="D451" s="45" t="s">
        <v>29</v>
      </c>
      <c r="E451" s="44" t="s">
        <v>67</v>
      </c>
      <c r="F451" s="670">
        <v>1</v>
      </c>
      <c r="G451" s="670"/>
      <c r="H451" s="199">
        <f t="shared" si="20"/>
        <v>1</v>
      </c>
    </row>
    <row r="452" spans="2:8" s="42" customFormat="1" ht="15" x14ac:dyDescent="0.25">
      <c r="B452" s="694"/>
      <c r="C452" s="695"/>
      <c r="D452" s="45" t="s">
        <v>350</v>
      </c>
      <c r="E452" s="44" t="s">
        <v>67</v>
      </c>
      <c r="F452" s="670">
        <v>1</v>
      </c>
      <c r="G452" s="670"/>
      <c r="H452" s="199">
        <f t="shared" si="20"/>
        <v>1</v>
      </c>
    </row>
    <row r="453" spans="2:8" s="42" customFormat="1" ht="15" x14ac:dyDescent="0.25">
      <c r="B453" s="694"/>
      <c r="C453" s="695"/>
      <c r="D453" s="45" t="s">
        <v>351</v>
      </c>
      <c r="E453" s="44" t="s">
        <v>67</v>
      </c>
      <c r="F453" s="670">
        <v>1</v>
      </c>
      <c r="G453" s="670"/>
      <c r="H453" s="199">
        <f t="shared" si="20"/>
        <v>1</v>
      </c>
    </row>
    <row r="454" spans="2:8" s="42" customFormat="1" ht="15" x14ac:dyDescent="0.25">
      <c r="B454" s="694"/>
      <c r="C454" s="695"/>
      <c r="D454" s="45" t="s">
        <v>352</v>
      </c>
      <c r="E454" s="44" t="s">
        <v>67</v>
      </c>
      <c r="F454" s="670">
        <v>1</v>
      </c>
      <c r="G454" s="670"/>
      <c r="H454" s="199">
        <f t="shared" si="20"/>
        <v>1</v>
      </c>
    </row>
    <row r="455" spans="2:8" s="42" customFormat="1" ht="15" x14ac:dyDescent="0.25">
      <c r="B455" s="660"/>
      <c r="C455" s="696"/>
      <c r="D455" s="45" t="s">
        <v>353</v>
      </c>
      <c r="E455" s="44" t="s">
        <v>67</v>
      </c>
      <c r="F455" s="670">
        <v>1</v>
      </c>
      <c r="G455" s="670"/>
      <c r="H455" s="199">
        <f t="shared" si="20"/>
        <v>1</v>
      </c>
    </row>
    <row r="456" spans="2:8" s="42" customFormat="1" ht="15.75" x14ac:dyDescent="0.25">
      <c r="B456" s="598" t="s">
        <v>369</v>
      </c>
      <c r="C456" s="442">
        <v>80686</v>
      </c>
      <c r="D456" s="60" t="s">
        <v>370</v>
      </c>
      <c r="E456" s="99" t="s">
        <v>67</v>
      </c>
      <c r="F456" s="671" t="s">
        <v>68</v>
      </c>
      <c r="G456" s="671"/>
      <c r="H456" s="192">
        <f>SUM(H457:H463)</f>
        <v>7</v>
      </c>
    </row>
    <row r="457" spans="2:8" s="42" customFormat="1" ht="15" x14ac:dyDescent="0.25">
      <c r="B457" s="652"/>
      <c r="C457" s="673"/>
      <c r="D457" s="45" t="s">
        <v>353</v>
      </c>
      <c r="E457" s="44" t="s">
        <v>67</v>
      </c>
      <c r="F457" s="691">
        <v>1</v>
      </c>
      <c r="G457" s="684"/>
      <c r="H457" s="199">
        <f t="shared" ref="H457:H463" si="21">F457</f>
        <v>1</v>
      </c>
    </row>
    <row r="458" spans="2:8" s="42" customFormat="1" ht="15" x14ac:dyDescent="0.25">
      <c r="B458" s="654"/>
      <c r="C458" s="675"/>
      <c r="D458" s="45" t="s">
        <v>29</v>
      </c>
      <c r="E458" s="44" t="s">
        <v>67</v>
      </c>
      <c r="F458" s="670">
        <v>1</v>
      </c>
      <c r="G458" s="670"/>
      <c r="H458" s="199">
        <f t="shared" si="21"/>
        <v>1</v>
      </c>
    </row>
    <row r="459" spans="2:8" s="42" customFormat="1" ht="15" x14ac:dyDescent="0.25">
      <c r="B459" s="654"/>
      <c r="C459" s="675"/>
      <c r="D459" s="45" t="s">
        <v>350</v>
      </c>
      <c r="E459" s="44" t="s">
        <v>67</v>
      </c>
      <c r="F459" s="670">
        <v>1</v>
      </c>
      <c r="G459" s="670"/>
      <c r="H459" s="199">
        <f t="shared" si="21"/>
        <v>1</v>
      </c>
    </row>
    <row r="460" spans="2:8" s="42" customFormat="1" ht="15" x14ac:dyDescent="0.25">
      <c r="B460" s="654"/>
      <c r="C460" s="675"/>
      <c r="D460" s="45" t="s">
        <v>351</v>
      </c>
      <c r="E460" s="44" t="s">
        <v>67</v>
      </c>
      <c r="F460" s="670">
        <v>1</v>
      </c>
      <c r="G460" s="670"/>
      <c r="H460" s="199">
        <f t="shared" si="21"/>
        <v>1</v>
      </c>
    </row>
    <row r="461" spans="2:8" s="42" customFormat="1" ht="15" x14ac:dyDescent="0.25">
      <c r="B461" s="654"/>
      <c r="C461" s="675"/>
      <c r="D461" s="45" t="s">
        <v>352</v>
      </c>
      <c r="E461" s="44" t="s">
        <v>67</v>
      </c>
      <c r="F461" s="670">
        <v>1</v>
      </c>
      <c r="G461" s="670"/>
      <c r="H461" s="199">
        <f t="shared" si="21"/>
        <v>1</v>
      </c>
    </row>
    <row r="462" spans="2:8" s="42" customFormat="1" ht="15" x14ac:dyDescent="0.25">
      <c r="B462" s="654"/>
      <c r="C462" s="675"/>
      <c r="D462" s="45" t="s">
        <v>371</v>
      </c>
      <c r="E462" s="44" t="s">
        <v>67</v>
      </c>
      <c r="F462" s="691">
        <v>1</v>
      </c>
      <c r="G462" s="684"/>
      <c r="H462" s="199">
        <f t="shared" si="21"/>
        <v>1</v>
      </c>
    </row>
    <row r="463" spans="2:8" s="42" customFormat="1" ht="15" x14ac:dyDescent="0.25">
      <c r="B463" s="656"/>
      <c r="C463" s="674"/>
      <c r="D463" s="45" t="s">
        <v>372</v>
      </c>
      <c r="E463" s="44" t="s">
        <v>67</v>
      </c>
      <c r="F463" s="691">
        <v>1</v>
      </c>
      <c r="G463" s="684"/>
      <c r="H463" s="199">
        <f t="shared" si="21"/>
        <v>1</v>
      </c>
    </row>
    <row r="464" spans="2:8" s="42" customFormat="1" ht="15.75" x14ac:dyDescent="0.25">
      <c r="B464" s="598" t="s">
        <v>373</v>
      </c>
      <c r="C464" s="442">
        <v>80687</v>
      </c>
      <c r="D464" s="60" t="s">
        <v>374</v>
      </c>
      <c r="E464" s="99" t="s">
        <v>67</v>
      </c>
      <c r="F464" s="671" t="s">
        <v>68</v>
      </c>
      <c r="G464" s="671"/>
      <c r="H464" s="192">
        <f>SUM(H465:H465)</f>
        <v>4</v>
      </c>
    </row>
    <row r="465" spans="2:8" s="42" customFormat="1" ht="15" x14ac:dyDescent="0.25">
      <c r="B465" s="652"/>
      <c r="C465" s="673"/>
      <c r="D465" s="45" t="s">
        <v>64</v>
      </c>
      <c r="E465" s="44" t="s">
        <v>67</v>
      </c>
      <c r="F465" s="691">
        <v>4</v>
      </c>
      <c r="G465" s="684"/>
      <c r="H465" s="199">
        <f>F465</f>
        <v>4</v>
      </c>
    </row>
    <row r="466" spans="2:8" s="42" customFormat="1" ht="15.75" x14ac:dyDescent="0.25">
      <c r="B466" s="598" t="s">
        <v>375</v>
      </c>
      <c r="C466" s="442">
        <v>80693</v>
      </c>
      <c r="D466" s="60" t="s">
        <v>376</v>
      </c>
      <c r="E466" s="99" t="s">
        <v>67</v>
      </c>
      <c r="F466" s="671" t="s">
        <v>68</v>
      </c>
      <c r="G466" s="671"/>
      <c r="H466" s="192">
        <f>H467</f>
        <v>4</v>
      </c>
    </row>
    <row r="467" spans="2:8" s="42" customFormat="1" ht="15" x14ac:dyDescent="0.25">
      <c r="B467" s="605"/>
      <c r="C467" s="616"/>
      <c r="D467" s="45" t="s">
        <v>64</v>
      </c>
      <c r="E467" s="44" t="s">
        <v>67</v>
      </c>
      <c r="F467" s="691">
        <v>4</v>
      </c>
      <c r="G467" s="684"/>
      <c r="H467" s="199">
        <f>F467</f>
        <v>4</v>
      </c>
    </row>
    <row r="468" spans="2:8" s="42" customFormat="1" ht="15.75" x14ac:dyDescent="0.25">
      <c r="B468" s="598" t="s">
        <v>377</v>
      </c>
      <c r="C468" s="442">
        <v>80801</v>
      </c>
      <c r="D468" s="60" t="s">
        <v>378</v>
      </c>
      <c r="E468" s="99" t="s">
        <v>67</v>
      </c>
      <c r="F468" s="671" t="s">
        <v>68</v>
      </c>
      <c r="G468" s="671"/>
      <c r="H468" s="192">
        <f>H469</f>
        <v>1</v>
      </c>
    </row>
    <row r="469" spans="2:8" s="42" customFormat="1" ht="15" x14ac:dyDescent="0.25">
      <c r="B469" s="605"/>
      <c r="C469" s="616"/>
      <c r="D469" s="45" t="s">
        <v>331</v>
      </c>
      <c r="E469" s="44" t="s">
        <v>67</v>
      </c>
      <c r="F469" s="691">
        <v>1</v>
      </c>
      <c r="G469" s="684"/>
      <c r="H469" s="199">
        <f>F469</f>
        <v>1</v>
      </c>
    </row>
    <row r="470" spans="2:8" s="42" customFormat="1" ht="15.75" x14ac:dyDescent="0.25">
      <c r="B470" s="598" t="s">
        <v>379</v>
      </c>
      <c r="C470" s="442">
        <v>80803</v>
      </c>
      <c r="D470" s="60" t="s">
        <v>380</v>
      </c>
      <c r="E470" s="99" t="s">
        <v>67</v>
      </c>
      <c r="F470" s="671" t="s">
        <v>68</v>
      </c>
      <c r="G470" s="671"/>
      <c r="H470" s="192">
        <f>H471</f>
        <v>1</v>
      </c>
    </row>
    <row r="471" spans="2:8" s="42" customFormat="1" ht="15" x14ac:dyDescent="0.25">
      <c r="B471" s="605"/>
      <c r="C471" s="616"/>
      <c r="D471" s="45" t="s">
        <v>332</v>
      </c>
      <c r="E471" s="44" t="s">
        <v>67</v>
      </c>
      <c r="F471" s="691">
        <v>1</v>
      </c>
      <c r="G471" s="684"/>
      <c r="H471" s="199">
        <f>F471</f>
        <v>1</v>
      </c>
    </row>
    <row r="472" spans="2:8" s="42" customFormat="1" ht="15.75" x14ac:dyDescent="0.25">
      <c r="B472" s="598" t="s">
        <v>381</v>
      </c>
      <c r="C472" s="442">
        <v>80680</v>
      </c>
      <c r="D472" s="60" t="s">
        <v>382</v>
      </c>
      <c r="E472" s="99" t="s">
        <v>67</v>
      </c>
      <c r="F472" s="671" t="s">
        <v>68</v>
      </c>
      <c r="G472" s="671"/>
      <c r="H472" s="192">
        <f>SUM(H473:H480)</f>
        <v>13</v>
      </c>
    </row>
    <row r="473" spans="2:8" s="42" customFormat="1" ht="15" x14ac:dyDescent="0.25">
      <c r="B473" s="654"/>
      <c r="C473" s="675"/>
      <c r="D473" s="45" t="s">
        <v>64</v>
      </c>
      <c r="E473" s="44" t="s">
        <v>67</v>
      </c>
      <c r="F473" s="691">
        <v>6</v>
      </c>
      <c r="G473" s="684"/>
      <c r="H473" s="199">
        <f t="shared" ref="H473:H480" si="22">F473</f>
        <v>6</v>
      </c>
    </row>
    <row r="474" spans="2:8" s="42" customFormat="1" ht="15" x14ac:dyDescent="0.25">
      <c r="B474" s="654"/>
      <c r="C474" s="675"/>
      <c r="D474" s="45" t="s">
        <v>353</v>
      </c>
      <c r="E474" s="44" t="s">
        <v>67</v>
      </c>
      <c r="F474" s="691">
        <v>1</v>
      </c>
      <c r="G474" s="684"/>
      <c r="H474" s="199">
        <f t="shared" si="22"/>
        <v>1</v>
      </c>
    </row>
    <row r="475" spans="2:8" s="42" customFormat="1" ht="15" x14ac:dyDescent="0.25">
      <c r="B475" s="654"/>
      <c r="C475" s="675"/>
      <c r="D475" s="45" t="s">
        <v>29</v>
      </c>
      <c r="E475" s="44" t="s">
        <v>67</v>
      </c>
      <c r="F475" s="670">
        <v>1</v>
      </c>
      <c r="G475" s="670"/>
      <c r="H475" s="199">
        <f t="shared" si="22"/>
        <v>1</v>
      </c>
    </row>
    <row r="476" spans="2:8" s="42" customFormat="1" ht="15" x14ac:dyDescent="0.25">
      <c r="B476" s="654"/>
      <c r="C476" s="675"/>
      <c r="D476" s="45" t="s">
        <v>350</v>
      </c>
      <c r="E476" s="44" t="s">
        <v>67</v>
      </c>
      <c r="F476" s="670">
        <v>1</v>
      </c>
      <c r="G476" s="670"/>
      <c r="H476" s="199">
        <f t="shared" si="22"/>
        <v>1</v>
      </c>
    </row>
    <row r="477" spans="2:8" s="42" customFormat="1" ht="15" x14ac:dyDescent="0.25">
      <c r="B477" s="654"/>
      <c r="C477" s="675"/>
      <c r="D477" s="45" t="s">
        <v>351</v>
      </c>
      <c r="E477" s="44" t="s">
        <v>67</v>
      </c>
      <c r="F477" s="670">
        <v>1</v>
      </c>
      <c r="G477" s="670"/>
      <c r="H477" s="199">
        <f t="shared" si="22"/>
        <v>1</v>
      </c>
    </row>
    <row r="478" spans="2:8" s="42" customFormat="1" ht="15" x14ac:dyDescent="0.25">
      <c r="B478" s="654"/>
      <c r="C478" s="675"/>
      <c r="D478" s="45" t="s">
        <v>352</v>
      </c>
      <c r="E478" s="44" t="s">
        <v>67</v>
      </c>
      <c r="F478" s="670">
        <v>1</v>
      </c>
      <c r="G478" s="670"/>
      <c r="H478" s="199">
        <f t="shared" si="22"/>
        <v>1</v>
      </c>
    </row>
    <row r="479" spans="2:8" s="42" customFormat="1" ht="15" x14ac:dyDescent="0.25">
      <c r="B479" s="654"/>
      <c r="C479" s="675"/>
      <c r="D479" s="45" t="s">
        <v>354</v>
      </c>
      <c r="E479" s="44" t="s">
        <v>67</v>
      </c>
      <c r="F479" s="691">
        <v>1</v>
      </c>
      <c r="G479" s="684"/>
      <c r="H479" s="199">
        <f t="shared" si="22"/>
        <v>1</v>
      </c>
    </row>
    <row r="480" spans="2:8" s="42" customFormat="1" ht="15" x14ac:dyDescent="0.25">
      <c r="B480" s="656"/>
      <c r="C480" s="674"/>
      <c r="D480" s="45" t="s">
        <v>355</v>
      </c>
      <c r="E480" s="44" t="s">
        <v>67</v>
      </c>
      <c r="F480" s="691">
        <v>1</v>
      </c>
      <c r="G480" s="684"/>
      <c r="H480" s="199">
        <f t="shared" si="22"/>
        <v>1</v>
      </c>
    </row>
    <row r="481" spans="1:8" s="42" customFormat="1" ht="15.75" x14ac:dyDescent="0.25">
      <c r="B481" s="598" t="s">
        <v>383</v>
      </c>
      <c r="C481" s="442">
        <v>80510</v>
      </c>
      <c r="D481" s="60" t="s">
        <v>384</v>
      </c>
      <c r="E481" s="99" t="s">
        <v>67</v>
      </c>
      <c r="F481" s="685" t="s">
        <v>68</v>
      </c>
      <c r="G481" s="686"/>
      <c r="H481" s="192">
        <f>SUM(H482:H486)</f>
        <v>7</v>
      </c>
    </row>
    <row r="482" spans="1:8" s="42" customFormat="1" ht="15" x14ac:dyDescent="0.25">
      <c r="B482" s="658"/>
      <c r="C482" s="693"/>
      <c r="D482" s="45" t="s">
        <v>339</v>
      </c>
      <c r="E482" s="44" t="s">
        <v>67</v>
      </c>
      <c r="F482" s="691">
        <v>1</v>
      </c>
      <c r="G482" s="684"/>
      <c r="H482" s="199">
        <f>F482</f>
        <v>1</v>
      </c>
    </row>
    <row r="483" spans="1:8" s="42" customFormat="1" ht="15" x14ac:dyDescent="0.25">
      <c r="B483" s="694"/>
      <c r="C483" s="695"/>
      <c r="D483" s="45" t="s">
        <v>340</v>
      </c>
      <c r="E483" s="44" t="s">
        <v>67</v>
      </c>
      <c r="F483" s="691">
        <v>1</v>
      </c>
      <c r="G483" s="684"/>
      <c r="H483" s="199">
        <f>F483</f>
        <v>1</v>
      </c>
    </row>
    <row r="484" spans="1:8" s="42" customFormat="1" ht="15" x14ac:dyDescent="0.25">
      <c r="B484" s="694"/>
      <c r="C484" s="695"/>
      <c r="D484" s="45" t="s">
        <v>341</v>
      </c>
      <c r="E484" s="44" t="s">
        <v>67</v>
      </c>
      <c r="F484" s="670">
        <v>2</v>
      </c>
      <c r="G484" s="670"/>
      <c r="H484" s="199">
        <f>F484</f>
        <v>2</v>
      </c>
    </row>
    <row r="485" spans="1:8" s="42" customFormat="1" ht="15" x14ac:dyDescent="0.25">
      <c r="B485" s="694"/>
      <c r="C485" s="695"/>
      <c r="D485" s="45" t="s">
        <v>342</v>
      </c>
      <c r="E485" s="44" t="s">
        <v>67</v>
      </c>
      <c r="F485" s="670">
        <v>2</v>
      </c>
      <c r="G485" s="670"/>
      <c r="H485" s="199">
        <f>F485</f>
        <v>2</v>
      </c>
    </row>
    <row r="486" spans="1:8" s="42" customFormat="1" ht="15" x14ac:dyDescent="0.25">
      <c r="B486" s="660"/>
      <c r="C486" s="696"/>
      <c r="D486" s="45" t="s">
        <v>347</v>
      </c>
      <c r="E486" s="44" t="s">
        <v>67</v>
      </c>
      <c r="F486" s="691">
        <v>1</v>
      </c>
      <c r="G486" s="684"/>
      <c r="H486" s="199">
        <f>F486</f>
        <v>1</v>
      </c>
    </row>
    <row r="487" spans="1:8" s="42" customFormat="1" ht="15.75" x14ac:dyDescent="0.25">
      <c r="B487" s="598" t="s">
        <v>385</v>
      </c>
      <c r="C487" s="442">
        <v>80520</v>
      </c>
      <c r="D487" s="60" t="s">
        <v>386</v>
      </c>
      <c r="E487" s="53" t="s">
        <v>67</v>
      </c>
      <c r="F487" s="671" t="s">
        <v>68</v>
      </c>
      <c r="G487" s="671"/>
      <c r="H487" s="192">
        <f>SUM(H488:H492)</f>
        <v>7</v>
      </c>
    </row>
    <row r="488" spans="1:8" s="42" customFormat="1" ht="15" x14ac:dyDescent="0.25">
      <c r="B488" s="658"/>
      <c r="C488" s="693"/>
      <c r="D488" s="45" t="s">
        <v>339</v>
      </c>
      <c r="E488" s="44" t="s">
        <v>67</v>
      </c>
      <c r="F488" s="691">
        <v>1</v>
      </c>
      <c r="G488" s="684"/>
      <c r="H488" s="199">
        <f>F488</f>
        <v>1</v>
      </c>
    </row>
    <row r="489" spans="1:8" s="42" customFormat="1" ht="15" x14ac:dyDescent="0.25">
      <c r="B489" s="694"/>
      <c r="C489" s="695"/>
      <c r="D489" s="45" t="s">
        <v>340</v>
      </c>
      <c r="E489" s="44" t="s">
        <v>67</v>
      </c>
      <c r="F489" s="691">
        <v>1</v>
      </c>
      <c r="G489" s="684"/>
      <c r="H489" s="199">
        <f>F489</f>
        <v>1</v>
      </c>
    </row>
    <row r="490" spans="1:8" s="42" customFormat="1" ht="15" x14ac:dyDescent="0.25">
      <c r="B490" s="694"/>
      <c r="C490" s="695"/>
      <c r="D490" s="45" t="s">
        <v>341</v>
      </c>
      <c r="E490" s="44" t="s">
        <v>67</v>
      </c>
      <c r="F490" s="670">
        <v>2</v>
      </c>
      <c r="G490" s="670"/>
      <c r="H490" s="199">
        <f>F490</f>
        <v>2</v>
      </c>
    </row>
    <row r="491" spans="1:8" s="42" customFormat="1" ht="15" x14ac:dyDescent="0.25">
      <c r="B491" s="694"/>
      <c r="C491" s="695"/>
      <c r="D491" s="45" t="s">
        <v>342</v>
      </c>
      <c r="E491" s="44" t="s">
        <v>67</v>
      </c>
      <c r="F491" s="670">
        <v>2</v>
      </c>
      <c r="G491" s="670"/>
      <c r="H491" s="199">
        <f>F491</f>
        <v>2</v>
      </c>
    </row>
    <row r="492" spans="1:8" s="89" customFormat="1" ht="15" x14ac:dyDescent="0.25">
      <c r="A492" s="42"/>
      <c r="B492" s="694"/>
      <c r="C492" s="695"/>
      <c r="D492" s="45" t="s">
        <v>347</v>
      </c>
      <c r="E492" s="44" t="s">
        <v>67</v>
      </c>
      <c r="F492" s="691">
        <v>1</v>
      </c>
      <c r="G492" s="684"/>
      <c r="H492" s="199">
        <f>F492</f>
        <v>1</v>
      </c>
    </row>
    <row r="493" spans="1:8" s="42" customFormat="1" ht="15.75" x14ac:dyDescent="0.25">
      <c r="B493" s="598" t="s">
        <v>387</v>
      </c>
      <c r="C493" s="617">
        <v>81008</v>
      </c>
      <c r="D493" s="217" t="s">
        <v>388</v>
      </c>
      <c r="E493" s="99" t="s">
        <v>63</v>
      </c>
      <c r="F493" s="685" t="s">
        <v>27</v>
      </c>
      <c r="G493" s="686"/>
      <c r="H493" s="192">
        <f>H494</f>
        <v>27</v>
      </c>
    </row>
    <row r="494" spans="1:8" s="42" customFormat="1" ht="15" x14ac:dyDescent="0.25">
      <c r="B494" s="668"/>
      <c r="C494" s="669"/>
      <c r="D494" s="45" t="s">
        <v>389</v>
      </c>
      <c r="E494" s="44" t="s">
        <v>63</v>
      </c>
      <c r="F494" s="732">
        <v>27</v>
      </c>
      <c r="G494" s="733"/>
      <c r="H494" s="199">
        <f>F494</f>
        <v>27</v>
      </c>
    </row>
    <row r="495" spans="1:8" s="42" customFormat="1" ht="15.75" x14ac:dyDescent="0.25">
      <c r="A495" s="89"/>
      <c r="B495" s="598" t="s">
        <v>390</v>
      </c>
      <c r="C495" s="617">
        <v>81006</v>
      </c>
      <c r="D495" s="217" t="s">
        <v>391</v>
      </c>
      <c r="E495" s="99" t="s">
        <v>63</v>
      </c>
      <c r="F495" s="685" t="s">
        <v>27</v>
      </c>
      <c r="G495" s="686"/>
      <c r="H495" s="192">
        <f>H496</f>
        <v>18</v>
      </c>
    </row>
    <row r="496" spans="1:8" s="42" customFormat="1" ht="15" x14ac:dyDescent="0.25">
      <c r="B496" s="668"/>
      <c r="C496" s="669"/>
      <c r="D496" s="45" t="s">
        <v>389</v>
      </c>
      <c r="E496" s="44" t="s">
        <v>63</v>
      </c>
      <c r="F496" s="672">
        <v>18</v>
      </c>
      <c r="G496" s="672"/>
      <c r="H496" s="199">
        <f>F496</f>
        <v>18</v>
      </c>
    </row>
    <row r="497" spans="2:8" s="42" customFormat="1" ht="15.75" x14ac:dyDescent="0.25">
      <c r="B497" s="598" t="s">
        <v>392</v>
      </c>
      <c r="C497" s="442">
        <v>81005</v>
      </c>
      <c r="D497" s="217" t="s">
        <v>393</v>
      </c>
      <c r="E497" s="99" t="s">
        <v>63</v>
      </c>
      <c r="F497" s="685" t="s">
        <v>27</v>
      </c>
      <c r="G497" s="686"/>
      <c r="H497" s="192">
        <f>H498</f>
        <v>90</v>
      </c>
    </row>
    <row r="498" spans="2:8" s="42" customFormat="1" ht="15" x14ac:dyDescent="0.25">
      <c r="B498" s="668"/>
      <c r="C498" s="669"/>
      <c r="D498" s="45" t="s">
        <v>389</v>
      </c>
      <c r="E498" s="44" t="s">
        <v>63</v>
      </c>
      <c r="F498" s="672">
        <v>90</v>
      </c>
      <c r="G498" s="672"/>
      <c r="H498" s="199">
        <f>F498</f>
        <v>90</v>
      </c>
    </row>
    <row r="499" spans="2:8" s="42" customFormat="1" ht="15.75" x14ac:dyDescent="0.25">
      <c r="B499" s="598" t="s">
        <v>394</v>
      </c>
      <c r="C499" s="442">
        <v>80926</v>
      </c>
      <c r="D499" s="92" t="s">
        <v>395</v>
      </c>
      <c r="E499" s="99" t="s">
        <v>67</v>
      </c>
      <c r="F499" s="671" t="s">
        <v>68</v>
      </c>
      <c r="G499" s="671"/>
      <c r="H499" s="192">
        <f>SUM(H500:H513)</f>
        <v>15</v>
      </c>
    </row>
    <row r="500" spans="2:8" s="42" customFormat="1" ht="15" x14ac:dyDescent="0.25">
      <c r="B500" s="652"/>
      <c r="C500" s="673"/>
      <c r="D500" s="45" t="s">
        <v>64</v>
      </c>
      <c r="E500" s="44" t="s">
        <v>67</v>
      </c>
      <c r="F500" s="670">
        <v>2</v>
      </c>
      <c r="G500" s="670"/>
      <c r="H500" s="199">
        <f>F500</f>
        <v>2</v>
      </c>
    </row>
    <row r="501" spans="2:8" s="42" customFormat="1" ht="15" x14ac:dyDescent="0.25">
      <c r="B501" s="654"/>
      <c r="C501" s="675"/>
      <c r="D501" s="45" t="s">
        <v>339</v>
      </c>
      <c r="E501" s="44" t="s">
        <v>67</v>
      </c>
      <c r="F501" s="691">
        <v>1</v>
      </c>
      <c r="G501" s="684"/>
      <c r="H501" s="199">
        <f t="shared" ref="H501:H513" si="23">F501</f>
        <v>1</v>
      </c>
    </row>
    <row r="502" spans="2:8" s="42" customFormat="1" ht="15" x14ac:dyDescent="0.25">
      <c r="B502" s="654"/>
      <c r="C502" s="675"/>
      <c r="D502" s="45" t="s">
        <v>340</v>
      </c>
      <c r="E502" s="44" t="s">
        <v>67</v>
      </c>
      <c r="F502" s="691">
        <v>1</v>
      </c>
      <c r="G502" s="684"/>
      <c r="H502" s="199">
        <f t="shared" si="23"/>
        <v>1</v>
      </c>
    </row>
    <row r="503" spans="2:8" s="42" customFormat="1" ht="15" x14ac:dyDescent="0.25">
      <c r="B503" s="654"/>
      <c r="C503" s="675"/>
      <c r="D503" s="45" t="s">
        <v>341</v>
      </c>
      <c r="E503" s="44" t="s">
        <v>67</v>
      </c>
      <c r="F503" s="670">
        <v>1</v>
      </c>
      <c r="G503" s="670"/>
      <c r="H503" s="199">
        <f t="shared" si="23"/>
        <v>1</v>
      </c>
    </row>
    <row r="504" spans="2:8" s="42" customFormat="1" ht="15" x14ac:dyDescent="0.25">
      <c r="B504" s="654"/>
      <c r="C504" s="675"/>
      <c r="D504" s="45" t="s">
        <v>342</v>
      </c>
      <c r="E504" s="44" t="s">
        <v>67</v>
      </c>
      <c r="F504" s="670">
        <v>1</v>
      </c>
      <c r="G504" s="670"/>
      <c r="H504" s="199">
        <f t="shared" si="23"/>
        <v>1</v>
      </c>
    </row>
    <row r="505" spans="2:8" s="42" customFormat="1" ht="15" x14ac:dyDescent="0.25">
      <c r="B505" s="654"/>
      <c r="C505" s="675"/>
      <c r="D505" s="45" t="s">
        <v>347</v>
      </c>
      <c r="E505" s="44" t="s">
        <v>67</v>
      </c>
      <c r="F505" s="691">
        <v>1</v>
      </c>
      <c r="G505" s="684"/>
      <c r="H505" s="199">
        <f t="shared" si="23"/>
        <v>1</v>
      </c>
    </row>
    <row r="506" spans="2:8" s="42" customFormat="1" ht="15" x14ac:dyDescent="0.25">
      <c r="B506" s="654"/>
      <c r="C506" s="675"/>
      <c r="D506" s="45" t="s">
        <v>354</v>
      </c>
      <c r="E506" s="44" t="s">
        <v>67</v>
      </c>
      <c r="F506" s="691">
        <v>1</v>
      </c>
      <c r="G506" s="684"/>
      <c r="H506" s="199">
        <f t="shared" si="23"/>
        <v>1</v>
      </c>
    </row>
    <row r="507" spans="2:8" s="42" customFormat="1" ht="15" x14ac:dyDescent="0.25">
      <c r="B507" s="654"/>
      <c r="C507" s="675"/>
      <c r="D507" s="45" t="s">
        <v>355</v>
      </c>
      <c r="E507" s="44" t="s">
        <v>67</v>
      </c>
      <c r="F507" s="691">
        <v>1</v>
      </c>
      <c r="G507" s="684"/>
      <c r="H507" s="199">
        <f t="shared" si="23"/>
        <v>1</v>
      </c>
    </row>
    <row r="508" spans="2:8" s="42" customFormat="1" ht="15" x14ac:dyDescent="0.25">
      <c r="B508" s="654"/>
      <c r="C508" s="675"/>
      <c r="D508" s="45" t="s">
        <v>347</v>
      </c>
      <c r="E508" s="44" t="s">
        <v>67</v>
      </c>
      <c r="F508" s="691">
        <v>1</v>
      </c>
      <c r="G508" s="684"/>
      <c r="H508" s="199">
        <f t="shared" si="23"/>
        <v>1</v>
      </c>
    </row>
    <row r="509" spans="2:8" s="42" customFormat="1" ht="15" x14ac:dyDescent="0.25">
      <c r="B509" s="654"/>
      <c r="C509" s="675"/>
      <c r="D509" s="45" t="s">
        <v>29</v>
      </c>
      <c r="E509" s="44" t="s">
        <v>67</v>
      </c>
      <c r="F509" s="670">
        <v>1</v>
      </c>
      <c r="G509" s="670"/>
      <c r="H509" s="199">
        <f t="shared" si="23"/>
        <v>1</v>
      </c>
    </row>
    <row r="510" spans="2:8" s="42" customFormat="1" ht="15" x14ac:dyDescent="0.25">
      <c r="B510" s="654"/>
      <c r="C510" s="675"/>
      <c r="D510" s="45" t="s">
        <v>350</v>
      </c>
      <c r="E510" s="44" t="s">
        <v>67</v>
      </c>
      <c r="F510" s="670">
        <v>1</v>
      </c>
      <c r="G510" s="670"/>
      <c r="H510" s="199">
        <f t="shared" si="23"/>
        <v>1</v>
      </c>
    </row>
    <row r="511" spans="2:8" s="42" customFormat="1" ht="15" x14ac:dyDescent="0.25">
      <c r="B511" s="654"/>
      <c r="C511" s="675"/>
      <c r="D511" s="45" t="s">
        <v>351</v>
      </c>
      <c r="E511" s="44" t="s">
        <v>67</v>
      </c>
      <c r="F511" s="670">
        <v>1</v>
      </c>
      <c r="G511" s="670"/>
      <c r="H511" s="199">
        <f t="shared" si="23"/>
        <v>1</v>
      </c>
    </row>
    <row r="512" spans="2:8" s="42" customFormat="1" ht="15" x14ac:dyDescent="0.25">
      <c r="B512" s="654"/>
      <c r="C512" s="675"/>
      <c r="D512" s="45" t="s">
        <v>352</v>
      </c>
      <c r="E512" s="44" t="s">
        <v>67</v>
      </c>
      <c r="F512" s="670">
        <v>1</v>
      </c>
      <c r="G512" s="670"/>
      <c r="H512" s="199">
        <f t="shared" si="23"/>
        <v>1</v>
      </c>
    </row>
    <row r="513" spans="2:8" s="42" customFormat="1" ht="15" x14ac:dyDescent="0.25">
      <c r="B513" s="656"/>
      <c r="C513" s="674"/>
      <c r="D513" s="45" t="s">
        <v>353</v>
      </c>
      <c r="E513" s="44" t="s">
        <v>67</v>
      </c>
      <c r="F513" s="670">
        <v>1</v>
      </c>
      <c r="G513" s="670"/>
      <c r="H513" s="199">
        <f t="shared" si="23"/>
        <v>1</v>
      </c>
    </row>
    <row r="514" spans="2:8" s="42" customFormat="1" ht="15.75" x14ac:dyDescent="0.25">
      <c r="B514" s="598" t="s">
        <v>396</v>
      </c>
      <c r="C514" s="442">
        <v>80946</v>
      </c>
      <c r="D514" s="92" t="s">
        <v>397</v>
      </c>
      <c r="E514" s="99" t="s">
        <v>67</v>
      </c>
      <c r="F514" s="685" t="s">
        <v>68</v>
      </c>
      <c r="G514" s="686"/>
      <c r="H514" s="192">
        <f>SUM(H515:H518)</f>
        <v>4</v>
      </c>
    </row>
    <row r="515" spans="2:8" s="42" customFormat="1" ht="15" x14ac:dyDescent="0.25">
      <c r="B515" s="652"/>
      <c r="C515" s="673"/>
      <c r="D515" s="45" t="s">
        <v>341</v>
      </c>
      <c r="E515" s="44" t="s">
        <v>67</v>
      </c>
      <c r="F515" s="670">
        <v>1</v>
      </c>
      <c r="G515" s="670"/>
      <c r="H515" s="199">
        <f>F515</f>
        <v>1</v>
      </c>
    </row>
    <row r="516" spans="2:8" s="42" customFormat="1" ht="15" x14ac:dyDescent="0.25">
      <c r="B516" s="654"/>
      <c r="C516" s="675"/>
      <c r="D516" s="45" t="s">
        <v>342</v>
      </c>
      <c r="E516" s="44" t="s">
        <v>67</v>
      </c>
      <c r="F516" s="670">
        <v>1</v>
      </c>
      <c r="G516" s="670"/>
      <c r="H516" s="199">
        <f>F516</f>
        <v>1</v>
      </c>
    </row>
    <row r="517" spans="2:8" s="42" customFormat="1" ht="15" x14ac:dyDescent="0.25">
      <c r="B517" s="654"/>
      <c r="C517" s="675"/>
      <c r="D517" s="45" t="s">
        <v>339</v>
      </c>
      <c r="E517" s="44" t="s">
        <v>67</v>
      </c>
      <c r="F517" s="691">
        <v>1</v>
      </c>
      <c r="G517" s="684"/>
      <c r="H517" s="199">
        <f>F517</f>
        <v>1</v>
      </c>
    </row>
    <row r="518" spans="2:8" s="42" customFormat="1" ht="15" x14ac:dyDescent="0.25">
      <c r="B518" s="656"/>
      <c r="C518" s="674"/>
      <c r="D518" s="45" t="s">
        <v>340</v>
      </c>
      <c r="E518" s="44" t="s">
        <v>67</v>
      </c>
      <c r="F518" s="691">
        <v>1</v>
      </c>
      <c r="G518" s="684"/>
      <c r="H518" s="199">
        <f>F518</f>
        <v>1</v>
      </c>
    </row>
    <row r="519" spans="2:8" s="42" customFormat="1" ht="15.75" x14ac:dyDescent="0.25">
      <c r="B519" s="618" t="s">
        <v>398</v>
      </c>
      <c r="C519" s="617">
        <v>80905</v>
      </c>
      <c r="D519" s="217" t="s">
        <v>399</v>
      </c>
      <c r="E519" s="99" t="s">
        <v>67</v>
      </c>
      <c r="F519" s="671" t="s">
        <v>68</v>
      </c>
      <c r="G519" s="671"/>
      <c r="H519" s="192">
        <f>H520</f>
        <v>2</v>
      </c>
    </row>
    <row r="520" spans="2:8" s="42" customFormat="1" ht="15" x14ac:dyDescent="0.25">
      <c r="B520" s="763"/>
      <c r="C520" s="764"/>
      <c r="D520" s="45" t="s">
        <v>400</v>
      </c>
      <c r="E520" s="44" t="s">
        <v>67</v>
      </c>
      <c r="F520" s="670">
        <v>2</v>
      </c>
      <c r="G520" s="670"/>
      <c r="H520" s="194">
        <f>F520</f>
        <v>2</v>
      </c>
    </row>
    <row r="521" spans="2:8" s="42" customFormat="1" ht="15.75" x14ac:dyDescent="0.25">
      <c r="B521" s="618" t="s">
        <v>401</v>
      </c>
      <c r="C521" s="617">
        <v>81326</v>
      </c>
      <c r="D521" s="217" t="s">
        <v>402</v>
      </c>
      <c r="E521" s="99" t="s">
        <v>67</v>
      </c>
      <c r="F521" s="685" t="s">
        <v>68</v>
      </c>
      <c r="G521" s="686"/>
      <c r="H521" s="192">
        <f>H522</f>
        <v>1</v>
      </c>
    </row>
    <row r="522" spans="2:8" s="42" customFormat="1" ht="15" x14ac:dyDescent="0.25">
      <c r="B522" s="619"/>
      <c r="C522" s="620"/>
      <c r="D522" s="40" t="s">
        <v>389</v>
      </c>
      <c r="E522" s="44" t="s">
        <v>67</v>
      </c>
      <c r="F522" s="732">
        <v>1</v>
      </c>
      <c r="G522" s="733"/>
      <c r="H522" s="199">
        <f>F522</f>
        <v>1</v>
      </c>
    </row>
    <row r="523" spans="2:8" s="42" customFormat="1" ht="15.75" x14ac:dyDescent="0.25">
      <c r="B523" s="618" t="s">
        <v>403</v>
      </c>
      <c r="C523" s="617">
        <v>81322</v>
      </c>
      <c r="D523" s="217" t="s">
        <v>404</v>
      </c>
      <c r="E523" s="99" t="s">
        <v>67</v>
      </c>
      <c r="F523" s="685" t="s">
        <v>68</v>
      </c>
      <c r="G523" s="686"/>
      <c r="H523" s="192">
        <f>H524</f>
        <v>31</v>
      </c>
    </row>
    <row r="524" spans="2:8" s="42" customFormat="1" ht="15" x14ac:dyDescent="0.25">
      <c r="B524" s="619"/>
      <c r="C524" s="620"/>
      <c r="D524" s="40" t="s">
        <v>389</v>
      </c>
      <c r="E524" s="44" t="s">
        <v>67</v>
      </c>
      <c r="F524" s="732">
        <v>31</v>
      </c>
      <c r="G524" s="733"/>
      <c r="H524" s="199">
        <f>F524</f>
        <v>31</v>
      </c>
    </row>
    <row r="525" spans="2:8" s="42" customFormat="1" ht="15.75" x14ac:dyDescent="0.25">
      <c r="B525" s="618" t="s">
        <v>405</v>
      </c>
      <c r="C525" s="617" t="s">
        <v>406</v>
      </c>
      <c r="D525" s="217" t="s">
        <v>407</v>
      </c>
      <c r="E525" s="99" t="s">
        <v>67</v>
      </c>
      <c r="F525" s="685" t="s">
        <v>68</v>
      </c>
      <c r="G525" s="686"/>
      <c r="H525" s="192">
        <f>H526</f>
        <v>12</v>
      </c>
    </row>
    <row r="526" spans="2:8" s="42" customFormat="1" ht="15" x14ac:dyDescent="0.25">
      <c r="B526" s="619"/>
      <c r="C526" s="620"/>
      <c r="D526" s="40" t="s">
        <v>389</v>
      </c>
      <c r="E526" s="44" t="s">
        <v>67</v>
      </c>
      <c r="F526" s="732">
        <v>12</v>
      </c>
      <c r="G526" s="733"/>
      <c r="H526" s="199">
        <f>F526</f>
        <v>12</v>
      </c>
    </row>
    <row r="527" spans="2:8" s="42" customFormat="1" ht="15.75" x14ac:dyDescent="0.25">
      <c r="B527" s="618" t="s">
        <v>408</v>
      </c>
      <c r="C527" s="617" t="s">
        <v>409</v>
      </c>
      <c r="D527" s="217" t="s">
        <v>410</v>
      </c>
      <c r="E527" s="99" t="s">
        <v>67</v>
      </c>
      <c r="F527" s="685" t="s">
        <v>68</v>
      </c>
      <c r="G527" s="686"/>
      <c r="H527" s="192">
        <f>H528</f>
        <v>9</v>
      </c>
    </row>
    <row r="528" spans="2:8" s="42" customFormat="1" ht="15" x14ac:dyDescent="0.25">
      <c r="B528" s="619"/>
      <c r="C528" s="620"/>
      <c r="D528" s="40" t="s">
        <v>389</v>
      </c>
      <c r="E528" s="44" t="s">
        <v>67</v>
      </c>
      <c r="F528" s="732">
        <v>9</v>
      </c>
      <c r="G528" s="733"/>
      <c r="H528" s="199">
        <f>F528</f>
        <v>9</v>
      </c>
    </row>
    <row r="529" spans="2:8" s="42" customFormat="1" ht="15.75" x14ac:dyDescent="0.25">
      <c r="B529" s="618" t="s">
        <v>411</v>
      </c>
      <c r="C529" s="617">
        <v>81405</v>
      </c>
      <c r="D529" s="217" t="s">
        <v>412</v>
      </c>
      <c r="E529" s="99" t="s">
        <v>67</v>
      </c>
      <c r="F529" s="685" t="s">
        <v>68</v>
      </c>
      <c r="G529" s="686"/>
      <c r="H529" s="192">
        <f>H530</f>
        <v>1</v>
      </c>
    </row>
    <row r="530" spans="2:8" s="42" customFormat="1" ht="15" x14ac:dyDescent="0.25">
      <c r="B530" s="619"/>
      <c r="C530" s="620"/>
      <c r="D530" s="40" t="s">
        <v>389</v>
      </c>
      <c r="E530" s="44" t="s">
        <v>67</v>
      </c>
      <c r="F530" s="732">
        <v>1</v>
      </c>
      <c r="G530" s="733"/>
      <c r="H530" s="199">
        <f>F530</f>
        <v>1</v>
      </c>
    </row>
    <row r="531" spans="2:8" s="42" customFormat="1" ht="15.75" x14ac:dyDescent="0.25">
      <c r="B531" s="618" t="s">
        <v>413</v>
      </c>
      <c r="C531" s="617">
        <v>81321</v>
      </c>
      <c r="D531" s="217" t="s">
        <v>414</v>
      </c>
      <c r="E531" s="99" t="s">
        <v>67</v>
      </c>
      <c r="F531" s="685" t="s">
        <v>68</v>
      </c>
      <c r="G531" s="686"/>
      <c r="H531" s="192">
        <f>H532</f>
        <v>33</v>
      </c>
    </row>
    <row r="532" spans="2:8" s="42" customFormat="1" ht="15" x14ac:dyDescent="0.25">
      <c r="B532" s="619"/>
      <c r="C532" s="620"/>
      <c r="D532" s="40" t="s">
        <v>389</v>
      </c>
      <c r="E532" s="44" t="s">
        <v>67</v>
      </c>
      <c r="F532" s="732">
        <v>33</v>
      </c>
      <c r="G532" s="733"/>
      <c r="H532" s="199">
        <f>F532</f>
        <v>33</v>
      </c>
    </row>
    <row r="533" spans="2:8" s="42" customFormat="1" ht="15.75" x14ac:dyDescent="0.25">
      <c r="B533" s="618" t="s">
        <v>415</v>
      </c>
      <c r="C533" s="617">
        <v>81403</v>
      </c>
      <c r="D533" s="217" t="s">
        <v>416</v>
      </c>
      <c r="E533" s="99" t="s">
        <v>67</v>
      </c>
      <c r="F533" s="685" t="s">
        <v>68</v>
      </c>
      <c r="G533" s="686"/>
      <c r="H533" s="192">
        <f>H534</f>
        <v>1</v>
      </c>
    </row>
    <row r="534" spans="2:8" s="42" customFormat="1" ht="15" x14ac:dyDescent="0.25">
      <c r="B534" s="619"/>
      <c r="C534" s="620"/>
      <c r="D534" s="40" t="s">
        <v>389</v>
      </c>
      <c r="E534" s="44" t="s">
        <v>67</v>
      </c>
      <c r="F534" s="732">
        <v>1</v>
      </c>
      <c r="G534" s="733"/>
      <c r="H534" s="199">
        <f>F534</f>
        <v>1</v>
      </c>
    </row>
    <row r="535" spans="2:8" s="42" customFormat="1" ht="15.75" x14ac:dyDescent="0.25">
      <c r="B535" s="618" t="s">
        <v>417</v>
      </c>
      <c r="C535" s="617">
        <v>81405</v>
      </c>
      <c r="D535" s="217" t="s">
        <v>418</v>
      </c>
      <c r="E535" s="99" t="s">
        <v>67</v>
      </c>
      <c r="F535" s="685" t="s">
        <v>68</v>
      </c>
      <c r="G535" s="686"/>
      <c r="H535" s="192">
        <f>H536</f>
        <v>8</v>
      </c>
    </row>
    <row r="536" spans="2:8" s="42" customFormat="1" ht="15" x14ac:dyDescent="0.25">
      <c r="B536" s="619"/>
      <c r="C536" s="620"/>
      <c r="D536" s="40" t="s">
        <v>389</v>
      </c>
      <c r="E536" s="44" t="s">
        <v>67</v>
      </c>
      <c r="F536" s="765">
        <v>8</v>
      </c>
      <c r="G536" s="766"/>
      <c r="H536" s="193">
        <f>F536</f>
        <v>8</v>
      </c>
    </row>
    <row r="537" spans="2:8" s="42" customFormat="1" ht="15.75" x14ac:dyDescent="0.25">
      <c r="B537" s="618" t="s">
        <v>419</v>
      </c>
      <c r="C537" s="617" t="s">
        <v>420</v>
      </c>
      <c r="D537" s="217" t="s">
        <v>421</v>
      </c>
      <c r="E537" s="99" t="s">
        <v>67</v>
      </c>
      <c r="F537" s="685" t="s">
        <v>68</v>
      </c>
      <c r="G537" s="686"/>
      <c r="H537" s="192">
        <f>H538</f>
        <v>4</v>
      </c>
    </row>
    <row r="538" spans="2:8" s="42" customFormat="1" ht="15" x14ac:dyDescent="0.25">
      <c r="B538" s="596"/>
      <c r="C538" s="597"/>
      <c r="D538" s="40" t="s">
        <v>389</v>
      </c>
      <c r="E538" s="44" t="s">
        <v>67</v>
      </c>
      <c r="F538" s="732">
        <v>4</v>
      </c>
      <c r="G538" s="733"/>
      <c r="H538" s="199">
        <f>F538</f>
        <v>4</v>
      </c>
    </row>
    <row r="539" spans="2:8" s="42" customFormat="1" ht="15.75" x14ac:dyDescent="0.25">
      <c r="B539" s="598" t="s">
        <v>422</v>
      </c>
      <c r="C539" s="442" t="s">
        <v>423</v>
      </c>
      <c r="D539" s="92" t="s">
        <v>424</v>
      </c>
      <c r="E539" s="99" t="s">
        <v>67</v>
      </c>
      <c r="F539" s="685" t="s">
        <v>68</v>
      </c>
      <c r="G539" s="686"/>
      <c r="H539" s="192">
        <f>SUM(H540:H541)</f>
        <v>2</v>
      </c>
    </row>
    <row r="540" spans="2:8" s="42" customFormat="1" ht="15" x14ac:dyDescent="0.25">
      <c r="B540" s="601"/>
      <c r="C540" s="602"/>
      <c r="D540" s="45" t="s">
        <v>339</v>
      </c>
      <c r="E540" s="44" t="s">
        <v>67</v>
      </c>
      <c r="F540" s="691">
        <v>1</v>
      </c>
      <c r="G540" s="684"/>
      <c r="H540" s="199">
        <f>F540</f>
        <v>1</v>
      </c>
    </row>
    <row r="541" spans="2:8" s="42" customFormat="1" ht="15" x14ac:dyDescent="0.25">
      <c r="B541" s="605"/>
      <c r="C541" s="606"/>
      <c r="D541" s="45" t="s">
        <v>340</v>
      </c>
      <c r="E541" s="44" t="s">
        <v>67</v>
      </c>
      <c r="F541" s="691">
        <v>1</v>
      </c>
      <c r="G541" s="684"/>
      <c r="H541" s="199">
        <f>F541</f>
        <v>1</v>
      </c>
    </row>
    <row r="542" spans="2:8" s="42" customFormat="1" ht="15.75" x14ac:dyDescent="0.25">
      <c r="B542" s="621" t="s">
        <v>425</v>
      </c>
      <c r="C542" s="621" t="s">
        <v>1166</v>
      </c>
      <c r="D542" s="215" t="s">
        <v>426</v>
      </c>
      <c r="E542" s="99" t="s">
        <v>67</v>
      </c>
      <c r="F542" s="671" t="s">
        <v>68</v>
      </c>
      <c r="G542" s="671"/>
      <c r="H542" s="492">
        <f>SUM(H543:H543)</f>
        <v>1</v>
      </c>
    </row>
    <row r="543" spans="2:8" s="42" customFormat="1" ht="15" x14ac:dyDescent="0.25">
      <c r="B543" s="697"/>
      <c r="C543" s="698"/>
      <c r="D543" s="494" t="s">
        <v>347</v>
      </c>
      <c r="E543" s="44" t="s">
        <v>67</v>
      </c>
      <c r="F543" s="691">
        <v>1</v>
      </c>
      <c r="G543" s="683"/>
      <c r="H543" s="493">
        <v>1</v>
      </c>
    </row>
    <row r="544" spans="2:8" s="42" customFormat="1" ht="15.75" x14ac:dyDescent="0.25">
      <c r="B544" s="699" t="s">
        <v>427</v>
      </c>
      <c r="C544" s="700"/>
      <c r="D544" s="701"/>
      <c r="E544" s="701"/>
      <c r="F544" s="701"/>
      <c r="G544" s="702"/>
      <c r="H544" s="471" t="s">
        <v>14</v>
      </c>
    </row>
    <row r="545" spans="2:8" s="42" customFormat="1" ht="15.75" x14ac:dyDescent="0.25">
      <c r="B545" s="622" t="s">
        <v>428</v>
      </c>
      <c r="C545" s="623">
        <v>81256</v>
      </c>
      <c r="D545" s="92" t="s">
        <v>429</v>
      </c>
      <c r="E545" s="99" t="s">
        <v>67</v>
      </c>
      <c r="F545" s="671" t="s">
        <v>68</v>
      </c>
      <c r="G545" s="671"/>
      <c r="H545" s="192">
        <f>H546</f>
        <v>4</v>
      </c>
    </row>
    <row r="546" spans="2:8" s="42" customFormat="1" ht="15" x14ac:dyDescent="0.25">
      <c r="B546" s="656"/>
      <c r="C546" s="690"/>
      <c r="D546" s="45" t="s">
        <v>389</v>
      </c>
      <c r="E546" s="44" t="s">
        <v>67</v>
      </c>
      <c r="F546" s="691">
        <v>4</v>
      </c>
      <c r="G546" s="684"/>
      <c r="H546" s="199">
        <v>4</v>
      </c>
    </row>
    <row r="547" spans="2:8" s="42" customFormat="1" ht="15.75" x14ac:dyDescent="0.25">
      <c r="B547" s="624" t="s">
        <v>430</v>
      </c>
      <c r="C547" s="442">
        <v>82301</v>
      </c>
      <c r="D547" s="92" t="s">
        <v>431</v>
      </c>
      <c r="E547" s="99" t="s">
        <v>63</v>
      </c>
      <c r="F547" s="685" t="s">
        <v>27</v>
      </c>
      <c r="G547" s="686"/>
      <c r="H547" s="192">
        <f>H548</f>
        <v>36</v>
      </c>
    </row>
    <row r="548" spans="2:8" s="42" customFormat="1" ht="15" x14ac:dyDescent="0.25">
      <c r="B548" s="762"/>
      <c r="C548" s="669"/>
      <c r="D548" s="45" t="s">
        <v>389</v>
      </c>
      <c r="E548" s="44" t="s">
        <v>63</v>
      </c>
      <c r="F548" s="672">
        <v>36</v>
      </c>
      <c r="G548" s="672"/>
      <c r="H548" s="199">
        <f>F548</f>
        <v>36</v>
      </c>
    </row>
    <row r="549" spans="2:8" s="42" customFormat="1" ht="15.75" x14ac:dyDescent="0.25">
      <c r="B549" s="622" t="s">
        <v>432</v>
      </c>
      <c r="C549" s="623">
        <v>82302</v>
      </c>
      <c r="D549" s="92" t="s">
        <v>433</v>
      </c>
      <c r="E549" s="99" t="s">
        <v>63</v>
      </c>
      <c r="F549" s="671" t="s">
        <v>68</v>
      </c>
      <c r="G549" s="671"/>
      <c r="H549" s="192">
        <f>H550</f>
        <v>42</v>
      </c>
    </row>
    <row r="550" spans="2:8" s="42" customFormat="1" ht="15" x14ac:dyDescent="0.25">
      <c r="B550" s="761"/>
      <c r="C550" s="669"/>
      <c r="D550" s="45" t="s">
        <v>389</v>
      </c>
      <c r="E550" s="44" t="s">
        <v>63</v>
      </c>
      <c r="F550" s="672">
        <v>42</v>
      </c>
      <c r="G550" s="672"/>
      <c r="H550" s="199">
        <f>F550</f>
        <v>42</v>
      </c>
    </row>
    <row r="551" spans="2:8" s="42" customFormat="1" ht="15.75" x14ac:dyDescent="0.25">
      <c r="B551" s="598" t="s">
        <v>434</v>
      </c>
      <c r="C551" s="442">
        <v>82304</v>
      </c>
      <c r="D551" s="92" t="s">
        <v>435</v>
      </c>
      <c r="E551" s="99" t="s">
        <v>63</v>
      </c>
      <c r="F551" s="671" t="s">
        <v>68</v>
      </c>
      <c r="G551" s="671"/>
      <c r="H551" s="192">
        <f>H552</f>
        <v>118</v>
      </c>
    </row>
    <row r="552" spans="2:8" s="42" customFormat="1" ht="15" x14ac:dyDescent="0.25">
      <c r="B552" s="668"/>
      <c r="C552" s="669"/>
      <c r="D552" s="45" t="s">
        <v>389</v>
      </c>
      <c r="E552" s="44" t="s">
        <v>63</v>
      </c>
      <c r="F552" s="672">
        <v>118</v>
      </c>
      <c r="G552" s="672"/>
      <c r="H552" s="199">
        <f>F552</f>
        <v>118</v>
      </c>
    </row>
    <row r="553" spans="2:8" s="42" customFormat="1" ht="15.75" x14ac:dyDescent="0.25">
      <c r="B553" s="598" t="s">
        <v>436</v>
      </c>
      <c r="C553" s="442">
        <v>81825</v>
      </c>
      <c r="D553" s="92" t="s">
        <v>437</v>
      </c>
      <c r="E553" s="99" t="s">
        <v>67</v>
      </c>
      <c r="F553" s="671" t="s">
        <v>68</v>
      </c>
      <c r="G553" s="671"/>
      <c r="H553" s="192">
        <f>H554</f>
        <v>12</v>
      </c>
    </row>
    <row r="554" spans="2:8" s="42" customFormat="1" ht="15" x14ac:dyDescent="0.25">
      <c r="B554" s="668"/>
      <c r="C554" s="669"/>
      <c r="D554" s="45" t="s">
        <v>389</v>
      </c>
      <c r="E554" s="44" t="s">
        <v>67</v>
      </c>
      <c r="F554" s="732">
        <v>12</v>
      </c>
      <c r="G554" s="733"/>
      <c r="H554" s="199">
        <f>F554</f>
        <v>12</v>
      </c>
    </row>
    <row r="555" spans="2:8" s="42" customFormat="1" ht="15.75" x14ac:dyDescent="0.25">
      <c r="B555" s="598" t="s">
        <v>438</v>
      </c>
      <c r="C555" s="442">
        <v>81826</v>
      </c>
      <c r="D555" s="92" t="s">
        <v>439</v>
      </c>
      <c r="E555" s="99" t="s">
        <v>67</v>
      </c>
      <c r="F555" s="671" t="s">
        <v>68</v>
      </c>
      <c r="G555" s="671"/>
      <c r="H555" s="192">
        <f>H556</f>
        <v>12</v>
      </c>
    </row>
    <row r="556" spans="2:8" s="42" customFormat="1" ht="15" x14ac:dyDescent="0.25">
      <c r="B556" s="668"/>
      <c r="C556" s="669"/>
      <c r="D556" s="45" t="s">
        <v>389</v>
      </c>
      <c r="E556" s="44" t="s">
        <v>67</v>
      </c>
      <c r="F556" s="672">
        <v>12</v>
      </c>
      <c r="G556" s="672"/>
      <c r="H556" s="199">
        <f>F556</f>
        <v>12</v>
      </c>
    </row>
    <row r="557" spans="2:8" s="42" customFormat="1" ht="31.5" x14ac:dyDescent="0.25">
      <c r="B557" s="598" t="s">
        <v>440</v>
      </c>
      <c r="C557" s="442">
        <v>81846</v>
      </c>
      <c r="D557" s="60" t="s">
        <v>441</v>
      </c>
      <c r="E557" s="99" t="s">
        <v>67</v>
      </c>
      <c r="F557" s="671" t="s">
        <v>68</v>
      </c>
      <c r="G557" s="671"/>
      <c r="H557" s="192">
        <f>H558</f>
        <v>5</v>
      </c>
    </row>
    <row r="558" spans="2:8" s="42" customFormat="1" ht="15" x14ac:dyDescent="0.25">
      <c r="B558" s="668"/>
      <c r="C558" s="669"/>
      <c r="D558" s="45" t="s">
        <v>389</v>
      </c>
      <c r="E558" s="44" t="s">
        <v>67</v>
      </c>
      <c r="F558" s="672">
        <v>5</v>
      </c>
      <c r="G558" s="672"/>
      <c r="H558" s="199">
        <f>F558</f>
        <v>5</v>
      </c>
    </row>
    <row r="559" spans="2:8" s="42" customFormat="1" ht="15.75" x14ac:dyDescent="0.25">
      <c r="B559" s="598" t="s">
        <v>442</v>
      </c>
      <c r="C559" s="442">
        <v>81935</v>
      </c>
      <c r="D559" s="92" t="s">
        <v>443</v>
      </c>
      <c r="E559" s="99" t="s">
        <v>67</v>
      </c>
      <c r="F559" s="671" t="s">
        <v>68</v>
      </c>
      <c r="G559" s="671"/>
      <c r="H559" s="192">
        <f>H560</f>
        <v>32</v>
      </c>
    </row>
    <row r="560" spans="2:8" s="42" customFormat="1" ht="15" x14ac:dyDescent="0.25">
      <c r="B560" s="668"/>
      <c r="C560" s="669"/>
      <c r="D560" s="45" t="s">
        <v>389</v>
      </c>
      <c r="E560" s="44" t="s">
        <v>67</v>
      </c>
      <c r="F560" s="670">
        <f>10+2+2+3+4+4+2+1+1+3</f>
        <v>32</v>
      </c>
      <c r="G560" s="670"/>
      <c r="H560" s="199">
        <f>F560</f>
        <v>32</v>
      </c>
    </row>
    <row r="561" spans="2:8" s="42" customFormat="1" ht="15.75" x14ac:dyDescent="0.25">
      <c r="B561" s="598" t="s">
        <v>444</v>
      </c>
      <c r="C561" s="442">
        <v>82201</v>
      </c>
      <c r="D561" s="92" t="s">
        <v>445</v>
      </c>
      <c r="E561" s="99" t="s">
        <v>67</v>
      </c>
      <c r="F561" s="671" t="s">
        <v>68</v>
      </c>
      <c r="G561" s="671"/>
      <c r="H561" s="192">
        <f>H562</f>
        <v>5</v>
      </c>
    </row>
    <row r="562" spans="2:8" s="42" customFormat="1" ht="15" x14ac:dyDescent="0.25">
      <c r="B562" s="668"/>
      <c r="C562" s="669"/>
      <c r="D562" s="45" t="s">
        <v>389</v>
      </c>
      <c r="E562" s="44" t="s">
        <v>67</v>
      </c>
      <c r="F562" s="670">
        <v>5</v>
      </c>
      <c r="G562" s="670"/>
      <c r="H562" s="199">
        <f>F562</f>
        <v>5</v>
      </c>
    </row>
    <row r="563" spans="2:8" s="42" customFormat="1" ht="15.75" x14ac:dyDescent="0.25">
      <c r="B563" s="598" t="s">
        <v>446</v>
      </c>
      <c r="C563" s="611">
        <v>81661</v>
      </c>
      <c r="D563" s="92" t="s">
        <v>447</v>
      </c>
      <c r="E563" s="99" t="s">
        <v>67</v>
      </c>
      <c r="F563" s="671" t="s">
        <v>68</v>
      </c>
      <c r="G563" s="671"/>
      <c r="H563" s="192">
        <f>H564</f>
        <v>18</v>
      </c>
    </row>
    <row r="564" spans="2:8" s="42" customFormat="1" ht="15" x14ac:dyDescent="0.25">
      <c r="B564" s="668"/>
      <c r="C564" s="669"/>
      <c r="D564" s="45" t="s">
        <v>389</v>
      </c>
      <c r="E564" s="44" t="s">
        <v>67</v>
      </c>
      <c r="F564" s="672">
        <v>18</v>
      </c>
      <c r="G564" s="672"/>
      <c r="H564" s="199">
        <f>F564</f>
        <v>18</v>
      </c>
    </row>
    <row r="565" spans="2:8" s="42" customFormat="1" ht="15.75" x14ac:dyDescent="0.25">
      <c r="B565" s="598" t="s">
        <v>448</v>
      </c>
      <c r="C565" s="442">
        <v>82103</v>
      </c>
      <c r="D565" s="92" t="s">
        <v>449</v>
      </c>
      <c r="E565" s="99" t="s">
        <v>67</v>
      </c>
      <c r="F565" s="671" t="s">
        <v>68</v>
      </c>
      <c r="G565" s="671"/>
      <c r="H565" s="192">
        <f>H566</f>
        <v>4</v>
      </c>
    </row>
    <row r="566" spans="2:8" s="42" customFormat="1" ht="15" x14ac:dyDescent="0.25">
      <c r="B566" s="668"/>
      <c r="C566" s="669"/>
      <c r="D566" s="45" t="s">
        <v>389</v>
      </c>
      <c r="E566" s="44" t="s">
        <v>67</v>
      </c>
      <c r="F566" s="670">
        <v>4</v>
      </c>
      <c r="G566" s="670"/>
      <c r="H566" s="199">
        <f>F566</f>
        <v>4</v>
      </c>
    </row>
    <row r="567" spans="2:8" s="42" customFormat="1" ht="15.75" x14ac:dyDescent="0.25">
      <c r="B567" s="598" t="s">
        <v>450</v>
      </c>
      <c r="C567" s="442">
        <v>81602</v>
      </c>
      <c r="D567" s="92" t="s">
        <v>451</v>
      </c>
      <c r="E567" s="99" t="s">
        <v>67</v>
      </c>
      <c r="F567" s="671" t="s">
        <v>68</v>
      </c>
      <c r="G567" s="671"/>
      <c r="H567" s="192">
        <f>H568</f>
        <v>1</v>
      </c>
    </row>
    <row r="568" spans="2:8" s="42" customFormat="1" ht="15" x14ac:dyDescent="0.25">
      <c r="B568" s="668"/>
      <c r="C568" s="669"/>
      <c r="D568" s="45" t="s">
        <v>389</v>
      </c>
      <c r="E568" s="44" t="s">
        <v>67</v>
      </c>
      <c r="F568" s="670">
        <v>1</v>
      </c>
      <c r="G568" s="670"/>
      <c r="H568" s="199">
        <f>F568</f>
        <v>1</v>
      </c>
    </row>
    <row r="569" spans="2:8" s="42" customFormat="1" ht="15.75" x14ac:dyDescent="0.25">
      <c r="B569" s="598" t="s">
        <v>452</v>
      </c>
      <c r="C569" s="442">
        <v>81701</v>
      </c>
      <c r="D569" s="92" t="s">
        <v>453</v>
      </c>
      <c r="E569" s="99" t="s">
        <v>67</v>
      </c>
      <c r="F569" s="671" t="s">
        <v>68</v>
      </c>
      <c r="G569" s="671"/>
      <c r="H569" s="192">
        <f>H570</f>
        <v>14</v>
      </c>
    </row>
    <row r="570" spans="2:8" s="42" customFormat="1" ht="15" x14ac:dyDescent="0.25">
      <c r="B570" s="668"/>
      <c r="C570" s="669"/>
      <c r="D570" s="45" t="s">
        <v>389</v>
      </c>
      <c r="E570" s="44" t="s">
        <v>67</v>
      </c>
      <c r="F570" s="672">
        <v>14</v>
      </c>
      <c r="G570" s="672"/>
      <c r="H570" s="199">
        <f>F570</f>
        <v>14</v>
      </c>
    </row>
    <row r="571" spans="2:8" s="42" customFormat="1" ht="15.75" x14ac:dyDescent="0.25">
      <c r="B571" s="598" t="s">
        <v>454</v>
      </c>
      <c r="C571" s="442">
        <v>81702</v>
      </c>
      <c r="D571" s="92" t="s">
        <v>455</v>
      </c>
      <c r="E571" s="99" t="s">
        <v>67</v>
      </c>
      <c r="F571" s="671" t="s">
        <v>68</v>
      </c>
      <c r="G571" s="671"/>
      <c r="H571" s="192">
        <f>H572</f>
        <v>11</v>
      </c>
    </row>
    <row r="572" spans="2:8" s="42" customFormat="1" ht="15" x14ac:dyDescent="0.25">
      <c r="B572" s="668"/>
      <c r="C572" s="669"/>
      <c r="D572" s="45" t="s">
        <v>389</v>
      </c>
      <c r="E572" s="44" t="s">
        <v>67</v>
      </c>
      <c r="F572" s="672">
        <v>11</v>
      </c>
      <c r="G572" s="672"/>
      <c r="H572" s="199">
        <f>F572</f>
        <v>11</v>
      </c>
    </row>
    <row r="573" spans="2:8" s="42" customFormat="1" ht="15.75" x14ac:dyDescent="0.25">
      <c r="B573" s="598" t="s">
        <v>456</v>
      </c>
      <c r="C573" s="611">
        <v>81922</v>
      </c>
      <c r="D573" s="92" t="s">
        <v>457</v>
      </c>
      <c r="E573" s="99" t="s">
        <v>67</v>
      </c>
      <c r="F573" s="671" t="s">
        <v>68</v>
      </c>
      <c r="G573" s="671"/>
      <c r="H573" s="192">
        <f>H574</f>
        <v>20</v>
      </c>
    </row>
    <row r="574" spans="2:8" s="42" customFormat="1" ht="15" x14ac:dyDescent="0.25">
      <c r="B574" s="668"/>
      <c r="C574" s="669"/>
      <c r="D574" s="45" t="s">
        <v>389</v>
      </c>
      <c r="E574" s="44" t="s">
        <v>67</v>
      </c>
      <c r="F574" s="672">
        <v>20</v>
      </c>
      <c r="G574" s="672"/>
      <c r="H574" s="199">
        <f>F574</f>
        <v>20</v>
      </c>
    </row>
    <row r="575" spans="2:8" s="42" customFormat="1" ht="15.75" x14ac:dyDescent="0.25">
      <c r="B575" s="598" t="s">
        <v>458</v>
      </c>
      <c r="C575" s="442">
        <v>81938</v>
      </c>
      <c r="D575" s="92" t="s">
        <v>459</v>
      </c>
      <c r="E575" s="99" t="s">
        <v>67</v>
      </c>
      <c r="F575" s="671" t="s">
        <v>68</v>
      </c>
      <c r="G575" s="671"/>
      <c r="H575" s="192">
        <f>H576</f>
        <v>2</v>
      </c>
    </row>
    <row r="576" spans="2:8" s="42" customFormat="1" ht="15" x14ac:dyDescent="0.25">
      <c r="B576" s="668"/>
      <c r="C576" s="669"/>
      <c r="D576" s="45" t="s">
        <v>389</v>
      </c>
      <c r="E576" s="44" t="s">
        <v>67</v>
      </c>
      <c r="F576" s="672">
        <v>2</v>
      </c>
      <c r="G576" s="672"/>
      <c r="H576" s="199">
        <f>F576</f>
        <v>2</v>
      </c>
    </row>
    <row r="577" spans="2:8" s="42" customFormat="1" ht="15.75" x14ac:dyDescent="0.25">
      <c r="B577" s="598" t="s">
        <v>460</v>
      </c>
      <c r="C577" s="611">
        <v>81973</v>
      </c>
      <c r="D577" s="92" t="s">
        <v>461</v>
      </c>
      <c r="E577" s="99" t="s">
        <v>67</v>
      </c>
      <c r="F577" s="671" t="s">
        <v>68</v>
      </c>
      <c r="G577" s="671"/>
      <c r="H577" s="192">
        <f>H578</f>
        <v>10</v>
      </c>
    </row>
    <row r="578" spans="2:8" s="42" customFormat="1" ht="15" x14ac:dyDescent="0.25">
      <c r="B578" s="668"/>
      <c r="C578" s="669"/>
      <c r="D578" s="45" t="s">
        <v>389</v>
      </c>
      <c r="E578" s="44" t="s">
        <v>67</v>
      </c>
      <c r="F578" s="672">
        <v>10</v>
      </c>
      <c r="G578" s="672"/>
      <c r="H578" s="199">
        <f>F578</f>
        <v>10</v>
      </c>
    </row>
    <row r="579" spans="2:8" s="42" customFormat="1" ht="15.75" x14ac:dyDescent="0.25">
      <c r="B579" s="598" t="s">
        <v>462</v>
      </c>
      <c r="C579" s="442">
        <v>81975</v>
      </c>
      <c r="D579" s="92" t="s">
        <v>463</v>
      </c>
      <c r="E579" s="99" t="s">
        <v>67</v>
      </c>
      <c r="F579" s="671" t="s">
        <v>68</v>
      </c>
      <c r="G579" s="671"/>
      <c r="H579" s="192">
        <f>H580</f>
        <v>4</v>
      </c>
    </row>
    <row r="580" spans="2:8" s="42" customFormat="1" ht="15" x14ac:dyDescent="0.25">
      <c r="B580" s="668"/>
      <c r="C580" s="669"/>
      <c r="D580" s="45" t="s">
        <v>389</v>
      </c>
      <c r="E580" s="44" t="s">
        <v>67</v>
      </c>
      <c r="F580" s="672">
        <v>4</v>
      </c>
      <c r="G580" s="672"/>
      <c r="H580" s="199">
        <f>F580</f>
        <v>4</v>
      </c>
    </row>
    <row r="581" spans="2:8" s="42" customFormat="1" ht="15.75" x14ac:dyDescent="0.25">
      <c r="B581" s="598" t="s">
        <v>464</v>
      </c>
      <c r="C581" s="442">
        <v>81936</v>
      </c>
      <c r="D581" s="92" t="s">
        <v>465</v>
      </c>
      <c r="E581" s="99" t="s">
        <v>67</v>
      </c>
      <c r="F581" s="671" t="s">
        <v>68</v>
      </c>
      <c r="G581" s="671"/>
      <c r="H581" s="192">
        <f>H582</f>
        <v>2</v>
      </c>
    </row>
    <row r="582" spans="2:8" s="42" customFormat="1" ht="15" x14ac:dyDescent="0.25">
      <c r="B582" s="668"/>
      <c r="C582" s="669"/>
      <c r="D582" s="45" t="s">
        <v>389</v>
      </c>
      <c r="E582" s="44" t="s">
        <v>67</v>
      </c>
      <c r="F582" s="670">
        <v>2</v>
      </c>
      <c r="G582" s="670"/>
      <c r="H582" s="199">
        <f>F582</f>
        <v>2</v>
      </c>
    </row>
    <row r="583" spans="2:8" s="42" customFormat="1" ht="15.75" x14ac:dyDescent="0.25">
      <c r="B583" s="598" t="s">
        <v>466</v>
      </c>
      <c r="C583" s="442">
        <v>82233</v>
      </c>
      <c r="D583" s="92" t="s">
        <v>467</v>
      </c>
      <c r="E583" s="99" t="s">
        <v>67</v>
      </c>
      <c r="F583" s="671" t="s">
        <v>68</v>
      </c>
      <c r="G583" s="671"/>
      <c r="H583" s="192">
        <f>H584</f>
        <v>1</v>
      </c>
    </row>
    <row r="584" spans="2:8" s="42" customFormat="1" ht="15" x14ac:dyDescent="0.25">
      <c r="B584" s="668"/>
      <c r="C584" s="669"/>
      <c r="D584" s="45" t="s">
        <v>389</v>
      </c>
      <c r="E584" s="44" t="s">
        <v>67</v>
      </c>
      <c r="F584" s="670">
        <v>1</v>
      </c>
      <c r="G584" s="670"/>
      <c r="H584" s="199">
        <f>F584</f>
        <v>1</v>
      </c>
    </row>
    <row r="585" spans="2:8" s="42" customFormat="1" ht="15.75" x14ac:dyDescent="0.25">
      <c r="B585" s="598" t="s">
        <v>468</v>
      </c>
      <c r="C585" s="442" t="s">
        <v>469</v>
      </c>
      <c r="D585" s="92" t="s">
        <v>470</v>
      </c>
      <c r="E585" s="99" t="s">
        <v>67</v>
      </c>
      <c r="F585" s="671" t="s">
        <v>68</v>
      </c>
      <c r="G585" s="671"/>
      <c r="H585" s="192">
        <f>SUM(H586:H587)</f>
        <v>4</v>
      </c>
    </row>
    <row r="586" spans="2:8" s="42" customFormat="1" ht="15" x14ac:dyDescent="0.25">
      <c r="B586" s="652"/>
      <c r="C586" s="673"/>
      <c r="D586" s="45" t="s">
        <v>341</v>
      </c>
      <c r="E586" s="44" t="s">
        <v>67</v>
      </c>
      <c r="F586" s="683">
        <v>2</v>
      </c>
      <c r="G586" s="684"/>
      <c r="H586" s="199">
        <f>F586</f>
        <v>2</v>
      </c>
    </row>
    <row r="587" spans="2:8" s="42" customFormat="1" ht="15" x14ac:dyDescent="0.25">
      <c r="B587" s="656"/>
      <c r="C587" s="674"/>
      <c r="D587" s="45" t="s">
        <v>342</v>
      </c>
      <c r="E587" s="44" t="s">
        <v>67</v>
      </c>
      <c r="F587" s="683">
        <v>2</v>
      </c>
      <c r="G587" s="684"/>
      <c r="H587" s="199">
        <f>F587</f>
        <v>2</v>
      </c>
    </row>
    <row r="588" spans="2:8" s="42" customFormat="1" ht="15.75" x14ac:dyDescent="0.25">
      <c r="B588" s="598" t="s">
        <v>471</v>
      </c>
      <c r="C588" s="442" t="s">
        <v>472</v>
      </c>
      <c r="D588" s="92" t="s">
        <v>473</v>
      </c>
      <c r="E588" s="99" t="s">
        <v>67</v>
      </c>
      <c r="F588" s="671" t="s">
        <v>68</v>
      </c>
      <c r="G588" s="671"/>
      <c r="H588" s="192">
        <v>1</v>
      </c>
    </row>
    <row r="589" spans="2:8" s="42" customFormat="1" ht="15.75" x14ac:dyDescent="0.25">
      <c r="B589" s="714"/>
      <c r="C589" s="715"/>
      <c r="D589" s="41" t="s">
        <v>347</v>
      </c>
      <c r="E589" s="44" t="s">
        <v>67</v>
      </c>
      <c r="F589" s="692">
        <v>1</v>
      </c>
      <c r="G589" s="692"/>
      <c r="H589" s="193">
        <v>1</v>
      </c>
    </row>
    <row r="590" spans="2:8" s="42" customFormat="1" ht="31.5" x14ac:dyDescent="0.25">
      <c r="B590" s="611" t="s">
        <v>474</v>
      </c>
      <c r="C590" s="625" t="s">
        <v>475</v>
      </c>
      <c r="D590" s="52" t="s">
        <v>476</v>
      </c>
      <c r="E590" s="53" t="s">
        <v>67</v>
      </c>
      <c r="F590" s="671" t="s">
        <v>68</v>
      </c>
      <c r="G590" s="671"/>
      <c r="H590" s="441">
        <f>H591</f>
        <v>30</v>
      </c>
    </row>
    <row r="591" spans="2:8" s="42" customFormat="1" ht="15" x14ac:dyDescent="0.25">
      <c r="B591" s="736"/>
      <c r="C591" s="690"/>
      <c r="D591" s="45" t="s">
        <v>389</v>
      </c>
      <c r="E591" s="44" t="s">
        <v>67</v>
      </c>
      <c r="F591" s="683">
        <v>30</v>
      </c>
      <c r="G591" s="684"/>
      <c r="H591" s="199">
        <f>F591</f>
        <v>30</v>
      </c>
    </row>
    <row r="592" spans="2:8" s="42" customFormat="1" ht="15.75" x14ac:dyDescent="0.25">
      <c r="B592" s="598" t="s">
        <v>477</v>
      </c>
      <c r="C592" s="442">
        <v>81829</v>
      </c>
      <c r="D592" s="51" t="s">
        <v>478</v>
      </c>
      <c r="E592" s="164" t="s">
        <v>17</v>
      </c>
      <c r="F592" s="685" t="s">
        <v>94</v>
      </c>
      <c r="G592" s="686"/>
      <c r="H592" s="189">
        <f>SUM(H593:H595)</f>
        <v>12.457949999999999</v>
      </c>
    </row>
    <row r="593" spans="2:8" s="42" customFormat="1" ht="15" x14ac:dyDescent="0.25">
      <c r="B593" s="652"/>
      <c r="C593" s="673"/>
      <c r="D593" s="40" t="s">
        <v>479</v>
      </c>
      <c r="E593" s="140" t="s">
        <v>17</v>
      </c>
      <c r="F593" s="691">
        <f>(3.14*(2.3^2))/4</f>
        <v>4.1526499999999995</v>
      </c>
      <c r="G593" s="684"/>
      <c r="H593" s="191">
        <f>F593</f>
        <v>4.1526499999999995</v>
      </c>
    </row>
    <row r="594" spans="2:8" s="42" customFormat="1" ht="15" x14ac:dyDescent="0.25">
      <c r="B594" s="654"/>
      <c r="C594" s="675"/>
      <c r="D594" s="40" t="s">
        <v>480</v>
      </c>
      <c r="E594" s="140" t="s">
        <v>17</v>
      </c>
      <c r="F594" s="691">
        <f t="shared" ref="F594:F595" si="24">(3.14*(2.3^2))/4</f>
        <v>4.1526499999999995</v>
      </c>
      <c r="G594" s="684"/>
      <c r="H594" s="191">
        <f t="shared" ref="H594:H595" si="25">F594</f>
        <v>4.1526499999999995</v>
      </c>
    </row>
    <row r="595" spans="2:8" s="42" customFormat="1" ht="15" x14ac:dyDescent="0.25">
      <c r="B595" s="745"/>
      <c r="C595" s="746"/>
      <c r="D595" s="40" t="s">
        <v>481</v>
      </c>
      <c r="E595" s="140" t="s">
        <v>17</v>
      </c>
      <c r="F595" s="691">
        <f t="shared" si="24"/>
        <v>4.1526499999999995</v>
      </c>
      <c r="G595" s="684"/>
      <c r="H595" s="477">
        <f t="shared" si="25"/>
        <v>4.1526499999999995</v>
      </c>
    </row>
    <row r="596" spans="2:8" s="42" customFormat="1" ht="47.25" x14ac:dyDescent="0.25">
      <c r="B596" s="598" t="s">
        <v>482</v>
      </c>
      <c r="C596" s="626" t="s">
        <v>483</v>
      </c>
      <c r="D596" s="374" t="s">
        <v>484</v>
      </c>
      <c r="E596" s="223" t="s">
        <v>485</v>
      </c>
      <c r="F596" s="664" t="s">
        <v>486</v>
      </c>
      <c r="G596" s="739"/>
      <c r="H596" s="479">
        <f>H597</f>
        <v>9</v>
      </c>
    </row>
    <row r="597" spans="2:8" s="42" customFormat="1" ht="15" x14ac:dyDescent="0.25">
      <c r="B597" s="666"/>
      <c r="C597" s="667"/>
      <c r="D597" s="225" t="s">
        <v>487</v>
      </c>
      <c r="E597" s="226" t="s">
        <v>485</v>
      </c>
      <c r="F597" s="662">
        <v>9</v>
      </c>
      <c r="G597" s="738"/>
      <c r="H597" s="480">
        <f>F597</f>
        <v>9</v>
      </c>
    </row>
    <row r="598" spans="2:8" s="42" customFormat="1" ht="15.75" x14ac:dyDescent="0.25">
      <c r="B598" s="598" t="s">
        <v>488</v>
      </c>
      <c r="C598" s="627" t="s">
        <v>1167</v>
      </c>
      <c r="D598" s="374" t="s">
        <v>490</v>
      </c>
      <c r="E598" s="223" t="s">
        <v>67</v>
      </c>
      <c r="F598" s="664" t="s">
        <v>68</v>
      </c>
      <c r="G598" s="739"/>
      <c r="H598" s="481">
        <f>H599</f>
        <v>2</v>
      </c>
    </row>
    <row r="599" spans="2:8" s="42" customFormat="1" ht="15" x14ac:dyDescent="0.25">
      <c r="B599" s="666"/>
      <c r="C599" s="667"/>
      <c r="D599" s="225" t="s">
        <v>487</v>
      </c>
      <c r="E599" s="226" t="s">
        <v>67</v>
      </c>
      <c r="F599" s="662">
        <v>2</v>
      </c>
      <c r="G599" s="738"/>
      <c r="H599" s="482">
        <f>F599</f>
        <v>2</v>
      </c>
    </row>
    <row r="600" spans="2:8" s="42" customFormat="1" ht="15.75" x14ac:dyDescent="0.25">
      <c r="B600" s="598" t="s">
        <v>491</v>
      </c>
      <c r="C600" s="442">
        <v>82304</v>
      </c>
      <c r="D600" s="92" t="s">
        <v>435</v>
      </c>
      <c r="E600" s="99" t="s">
        <v>63</v>
      </c>
      <c r="F600" s="671" t="s">
        <v>27</v>
      </c>
      <c r="G600" s="671"/>
      <c r="H600" s="478">
        <f>H601</f>
        <v>137</v>
      </c>
    </row>
    <row r="601" spans="2:8" s="42" customFormat="1" ht="15" x14ac:dyDescent="0.25">
      <c r="B601" s="652"/>
      <c r="C601" s="673"/>
      <c r="D601" s="45" t="s">
        <v>487</v>
      </c>
      <c r="E601" s="44" t="s">
        <v>63</v>
      </c>
      <c r="F601" s="670">
        <v>137</v>
      </c>
      <c r="G601" s="670"/>
      <c r="H601" s="199">
        <f>F601</f>
        <v>137</v>
      </c>
    </row>
    <row r="602" spans="2:8" s="42" customFormat="1" ht="15.75" x14ac:dyDescent="0.25">
      <c r="B602" s="737" t="s">
        <v>492</v>
      </c>
      <c r="C602" s="701"/>
      <c r="D602" s="701"/>
      <c r="E602" s="701"/>
      <c r="F602" s="701"/>
      <c r="G602" s="702"/>
      <c r="H602" s="200" t="s">
        <v>14</v>
      </c>
    </row>
    <row r="603" spans="2:8" s="42" customFormat="1" ht="15.75" x14ac:dyDescent="0.25">
      <c r="B603" s="598" t="s">
        <v>493</v>
      </c>
      <c r="C603" s="442" t="s">
        <v>494</v>
      </c>
      <c r="D603" s="92" t="s">
        <v>495</v>
      </c>
      <c r="E603" s="99" t="s">
        <v>67</v>
      </c>
      <c r="F603" s="671" t="s">
        <v>68</v>
      </c>
      <c r="G603" s="671"/>
      <c r="H603" s="192">
        <f>H604</f>
        <v>6</v>
      </c>
    </row>
    <row r="604" spans="2:8" s="42" customFormat="1" ht="15" x14ac:dyDescent="0.25">
      <c r="B604" s="668"/>
      <c r="C604" s="669"/>
      <c r="D604" s="45" t="s">
        <v>496</v>
      </c>
      <c r="E604" s="44" t="s">
        <v>67</v>
      </c>
      <c r="F604" s="670">
        <v>6</v>
      </c>
      <c r="G604" s="670"/>
      <c r="H604" s="199">
        <f>F604</f>
        <v>6</v>
      </c>
    </row>
    <row r="605" spans="2:8" s="42" customFormat="1" ht="15.75" x14ac:dyDescent="0.25">
      <c r="B605" s="598" t="s">
        <v>497</v>
      </c>
      <c r="C605" s="442">
        <v>81938</v>
      </c>
      <c r="D605" s="92" t="s">
        <v>459</v>
      </c>
      <c r="E605" s="99" t="s">
        <v>67</v>
      </c>
      <c r="F605" s="671" t="s">
        <v>68</v>
      </c>
      <c r="G605" s="671"/>
      <c r="H605" s="192">
        <f>H606</f>
        <v>13</v>
      </c>
    </row>
    <row r="606" spans="2:8" s="42" customFormat="1" ht="15" x14ac:dyDescent="0.25">
      <c r="B606" s="668"/>
      <c r="C606" s="669"/>
      <c r="D606" s="45" t="s">
        <v>487</v>
      </c>
      <c r="E606" s="44" t="s">
        <v>67</v>
      </c>
      <c r="F606" s="670">
        <v>13</v>
      </c>
      <c r="G606" s="670"/>
      <c r="H606" s="199">
        <f>F606</f>
        <v>13</v>
      </c>
    </row>
    <row r="607" spans="2:8" s="42" customFormat="1" ht="15.75" x14ac:dyDescent="0.25">
      <c r="B607" s="628" t="s">
        <v>498</v>
      </c>
      <c r="C607" s="442">
        <v>82235</v>
      </c>
      <c r="D607" s="92" t="s">
        <v>499</v>
      </c>
      <c r="E607" s="99" t="s">
        <v>67</v>
      </c>
      <c r="F607" s="671" t="s">
        <v>68</v>
      </c>
      <c r="G607" s="671"/>
      <c r="H607" s="192">
        <f>H608</f>
        <v>5</v>
      </c>
    </row>
    <row r="608" spans="2:8" s="42" customFormat="1" ht="15" x14ac:dyDescent="0.25">
      <c r="B608" s="652"/>
      <c r="C608" s="673"/>
      <c r="D608" s="45" t="s">
        <v>487</v>
      </c>
      <c r="E608" s="44" t="s">
        <v>67</v>
      </c>
      <c r="F608" s="670">
        <v>5</v>
      </c>
      <c r="G608" s="670"/>
      <c r="H608" s="199">
        <f>F608</f>
        <v>5</v>
      </c>
    </row>
    <row r="609" spans="2:8" s="42" customFormat="1" ht="15.75" x14ac:dyDescent="0.25">
      <c r="B609" s="628" t="s">
        <v>500</v>
      </c>
      <c r="C609" s="611">
        <v>82004</v>
      </c>
      <c r="D609" s="60" t="s">
        <v>501</v>
      </c>
      <c r="E609" s="99" t="s">
        <v>67</v>
      </c>
      <c r="F609" s="671" t="s">
        <v>68</v>
      </c>
      <c r="G609" s="671"/>
      <c r="H609" s="192">
        <f>H610</f>
        <v>16</v>
      </c>
    </row>
    <row r="610" spans="2:8" s="42" customFormat="1" ht="15" x14ac:dyDescent="0.25">
      <c r="B610" s="652"/>
      <c r="C610" s="673"/>
      <c r="D610" s="45" t="s">
        <v>487</v>
      </c>
      <c r="E610" s="44" t="s">
        <v>67</v>
      </c>
      <c r="F610" s="670">
        <v>16</v>
      </c>
      <c r="G610" s="670"/>
      <c r="H610" s="199">
        <f>F610</f>
        <v>16</v>
      </c>
    </row>
    <row r="611" spans="2:8" s="42" customFormat="1" ht="15.75" customHeight="1" x14ac:dyDescent="0.25">
      <c r="B611" s="628" t="s">
        <v>502</v>
      </c>
      <c r="C611" s="629" t="s">
        <v>503</v>
      </c>
      <c r="D611" s="92" t="s">
        <v>504</v>
      </c>
      <c r="E611" s="223" t="s">
        <v>67</v>
      </c>
      <c r="F611" s="664" t="s">
        <v>68</v>
      </c>
      <c r="G611" s="664"/>
      <c r="H611" s="224">
        <f>H612</f>
        <v>6</v>
      </c>
    </row>
    <row r="612" spans="2:8" s="42" customFormat="1" ht="15" x14ac:dyDescent="0.25">
      <c r="B612" s="666"/>
      <c r="C612" s="667"/>
      <c r="D612" s="225" t="s">
        <v>487</v>
      </c>
      <c r="E612" s="226" t="s">
        <v>67</v>
      </c>
      <c r="F612" s="662">
        <v>6</v>
      </c>
      <c r="G612" s="662"/>
      <c r="H612" s="227">
        <f>F612</f>
        <v>6</v>
      </c>
    </row>
    <row r="613" spans="2:8" s="42" customFormat="1" ht="15.75" customHeight="1" x14ac:dyDescent="0.25">
      <c r="B613" s="628" t="s">
        <v>505</v>
      </c>
      <c r="C613" s="629" t="s">
        <v>506</v>
      </c>
      <c r="D613" s="222" t="s">
        <v>507</v>
      </c>
      <c r="E613" s="223" t="s">
        <v>67</v>
      </c>
      <c r="F613" s="664" t="s">
        <v>68</v>
      </c>
      <c r="G613" s="664"/>
      <c r="H613" s="232">
        <f>H614</f>
        <v>3</v>
      </c>
    </row>
    <row r="614" spans="2:8" s="42" customFormat="1" ht="15" x14ac:dyDescent="0.25">
      <c r="B614" s="666"/>
      <c r="C614" s="667"/>
      <c r="D614" s="225" t="s">
        <v>496</v>
      </c>
      <c r="E614" s="226" t="s">
        <v>67</v>
      </c>
      <c r="F614" s="662">
        <v>3</v>
      </c>
      <c r="G614" s="663"/>
      <c r="H614" s="473">
        <f>F614</f>
        <v>3</v>
      </c>
    </row>
    <row r="615" spans="2:8" s="42" customFormat="1" ht="15.75" customHeight="1" x14ac:dyDescent="0.25">
      <c r="B615" s="628" t="s">
        <v>508</v>
      </c>
      <c r="C615" s="629" t="s">
        <v>509</v>
      </c>
      <c r="D615" s="222" t="s">
        <v>510</v>
      </c>
      <c r="E615" s="223" t="s">
        <v>67</v>
      </c>
      <c r="F615" s="664" t="s">
        <v>68</v>
      </c>
      <c r="G615" s="665"/>
      <c r="H615" s="474">
        <f>H616</f>
        <v>2</v>
      </c>
    </row>
    <row r="616" spans="2:8" s="42" customFormat="1" ht="15" x14ac:dyDescent="0.25">
      <c r="B616" s="666"/>
      <c r="C616" s="667"/>
      <c r="D616" s="225" t="s">
        <v>487</v>
      </c>
      <c r="E616" s="226" t="s">
        <v>67</v>
      </c>
      <c r="F616" s="662">
        <v>2</v>
      </c>
      <c r="G616" s="663"/>
      <c r="H616" s="475">
        <f>F616</f>
        <v>2</v>
      </c>
    </row>
    <row r="617" spans="2:8" s="42" customFormat="1" ht="15.75" customHeight="1" x14ac:dyDescent="0.25">
      <c r="B617" s="598" t="s">
        <v>511</v>
      </c>
      <c r="C617" s="629" t="s">
        <v>512</v>
      </c>
      <c r="D617" s="222" t="s">
        <v>513</v>
      </c>
      <c r="E617" s="223" t="s">
        <v>67</v>
      </c>
      <c r="F617" s="664" t="s">
        <v>68</v>
      </c>
      <c r="G617" s="665"/>
      <c r="H617" s="474">
        <f>H618</f>
        <v>5</v>
      </c>
    </row>
    <row r="618" spans="2:8" s="42" customFormat="1" ht="15" x14ac:dyDescent="0.25">
      <c r="B618" s="666"/>
      <c r="C618" s="667"/>
      <c r="D618" s="225" t="s">
        <v>496</v>
      </c>
      <c r="E618" s="226" t="s">
        <v>67</v>
      </c>
      <c r="F618" s="662">
        <v>5</v>
      </c>
      <c r="G618" s="663"/>
      <c r="H618" s="475">
        <f>F618</f>
        <v>5</v>
      </c>
    </row>
    <row r="619" spans="2:8" s="42" customFormat="1" ht="15.75" customHeight="1" x14ac:dyDescent="0.25">
      <c r="B619" s="598" t="s">
        <v>514</v>
      </c>
      <c r="C619" s="630">
        <v>82332</v>
      </c>
      <c r="D619" s="556" t="s">
        <v>515</v>
      </c>
      <c r="E619" s="223" t="s">
        <v>67</v>
      </c>
      <c r="F619" s="664" t="s">
        <v>68</v>
      </c>
      <c r="G619" s="665"/>
      <c r="H619" s="474">
        <f>H620</f>
        <v>117.34029999999998</v>
      </c>
    </row>
    <row r="620" spans="2:8" s="42" customFormat="1" ht="15" x14ac:dyDescent="0.25">
      <c r="B620" s="666"/>
      <c r="C620" s="667"/>
      <c r="D620" s="225" t="s">
        <v>496</v>
      </c>
      <c r="E620" s="226" t="s">
        <v>67</v>
      </c>
      <c r="F620" s="662">
        <f>(522.52+(1777.87)*3+1216.64+3336.24+1216.92+108.1)/100</f>
        <v>117.34029999999998</v>
      </c>
      <c r="G620" s="663"/>
      <c r="H620" s="475">
        <f>F620</f>
        <v>117.34029999999998</v>
      </c>
    </row>
    <row r="621" spans="2:8" s="42" customFormat="1" ht="15.75" customHeight="1" x14ac:dyDescent="0.25">
      <c r="B621" s="598" t="s">
        <v>516</v>
      </c>
      <c r="C621" s="630">
        <v>82331</v>
      </c>
      <c r="D621" s="373" t="s">
        <v>517</v>
      </c>
      <c r="E621" s="223" t="s">
        <v>67</v>
      </c>
      <c r="F621" s="664" t="s">
        <v>68</v>
      </c>
      <c r="G621" s="665"/>
      <c r="H621" s="474">
        <f>H622</f>
        <v>37.696999999999996</v>
      </c>
    </row>
    <row r="622" spans="2:8" s="42" customFormat="1" ht="15" x14ac:dyDescent="0.25">
      <c r="B622" s="666"/>
      <c r="C622" s="667"/>
      <c r="D622" s="225" t="s">
        <v>496</v>
      </c>
      <c r="E622" s="226" t="s">
        <v>67</v>
      </c>
      <c r="F622" s="662">
        <f>(235.2+221+221+373+216+216+167.5+20+(300*7))/100</f>
        <v>37.696999999999996</v>
      </c>
      <c r="G622" s="663"/>
      <c r="H622" s="475">
        <f>F622</f>
        <v>37.696999999999996</v>
      </c>
    </row>
    <row r="623" spans="2:8" s="42" customFormat="1" ht="31.5" customHeight="1" x14ac:dyDescent="0.25">
      <c r="B623" s="598" t="s">
        <v>518</v>
      </c>
      <c r="C623" s="626" t="s">
        <v>489</v>
      </c>
      <c r="D623" s="374" t="s">
        <v>519</v>
      </c>
      <c r="E623" s="223" t="s">
        <v>67</v>
      </c>
      <c r="F623" s="664" t="s">
        <v>68</v>
      </c>
      <c r="G623" s="665"/>
      <c r="H623" s="474">
        <f>H624</f>
        <v>9</v>
      </c>
    </row>
    <row r="624" spans="2:8" s="42" customFormat="1" ht="15" x14ac:dyDescent="0.25">
      <c r="B624" s="666"/>
      <c r="C624" s="667"/>
      <c r="D624" s="225" t="s">
        <v>487</v>
      </c>
      <c r="E624" s="226" t="s">
        <v>67</v>
      </c>
      <c r="F624" s="662">
        <v>9</v>
      </c>
      <c r="G624" s="663"/>
      <c r="H624" s="476">
        <f>F624</f>
        <v>9</v>
      </c>
    </row>
    <row r="625" spans="2:8" s="42" customFormat="1" ht="15.75" x14ac:dyDescent="0.25">
      <c r="B625" s="737" t="s">
        <v>520</v>
      </c>
      <c r="C625" s="701"/>
      <c r="D625" s="701"/>
      <c r="E625" s="701"/>
      <c r="F625" s="701"/>
      <c r="G625" s="702"/>
      <c r="H625" s="472" t="s">
        <v>14</v>
      </c>
    </row>
    <row r="626" spans="2:8" s="42" customFormat="1" ht="15.75" x14ac:dyDescent="0.25">
      <c r="B626" s="598" t="s">
        <v>521</v>
      </c>
      <c r="C626" s="442">
        <v>85001</v>
      </c>
      <c r="D626" s="60" t="s">
        <v>522</v>
      </c>
      <c r="E626" s="99" t="s">
        <v>67</v>
      </c>
      <c r="F626" s="671" t="s">
        <v>232</v>
      </c>
      <c r="G626" s="671"/>
      <c r="H626" s="192">
        <f>SUM(H627:H627)</f>
        <v>1</v>
      </c>
    </row>
    <row r="627" spans="2:8" s="42" customFormat="1" ht="15" x14ac:dyDescent="0.25">
      <c r="B627" s="656"/>
      <c r="C627" s="674"/>
      <c r="D627" s="45" t="s">
        <v>523</v>
      </c>
      <c r="E627" s="44" t="s">
        <v>67</v>
      </c>
      <c r="F627" s="691">
        <v>1</v>
      </c>
      <c r="G627" s="684"/>
      <c r="H627" s="199">
        <f>F627</f>
        <v>1</v>
      </c>
    </row>
    <row r="628" spans="2:8" s="42" customFormat="1" ht="15.75" x14ac:dyDescent="0.25">
      <c r="B628" s="598" t="s">
        <v>524</v>
      </c>
      <c r="C628" s="442">
        <v>85003</v>
      </c>
      <c r="D628" s="60" t="s">
        <v>525</v>
      </c>
      <c r="E628" s="99" t="s">
        <v>67</v>
      </c>
      <c r="F628" s="671" t="s">
        <v>232</v>
      </c>
      <c r="G628" s="671"/>
      <c r="H628" s="192">
        <f>SUM(H629:H629)</f>
        <v>7</v>
      </c>
    </row>
    <row r="629" spans="2:8" s="42" customFormat="1" ht="15" x14ac:dyDescent="0.25">
      <c r="B629" s="652"/>
      <c r="C629" s="673"/>
      <c r="D629" s="45" t="s">
        <v>523</v>
      </c>
      <c r="E629" s="44" t="s">
        <v>67</v>
      </c>
      <c r="F629" s="691">
        <v>7</v>
      </c>
      <c r="G629" s="684"/>
      <c r="H629" s="199">
        <f>F629</f>
        <v>7</v>
      </c>
    </row>
    <row r="630" spans="2:8" s="42" customFormat="1" ht="15.75" x14ac:dyDescent="0.25">
      <c r="B630" s="628" t="s">
        <v>526</v>
      </c>
      <c r="C630" s="442" t="s">
        <v>527</v>
      </c>
      <c r="D630" s="60" t="s">
        <v>528</v>
      </c>
      <c r="E630" s="99" t="s">
        <v>67</v>
      </c>
      <c r="F630" s="671" t="s">
        <v>232</v>
      </c>
      <c r="G630" s="671"/>
      <c r="H630" s="192">
        <f>H631</f>
        <v>2</v>
      </c>
    </row>
    <row r="631" spans="2:8" s="42" customFormat="1" ht="15" x14ac:dyDescent="0.25">
      <c r="B631" s="605"/>
      <c r="C631" s="616"/>
      <c r="D631" s="45" t="s">
        <v>523</v>
      </c>
      <c r="E631" s="44" t="s">
        <v>67</v>
      </c>
      <c r="F631" s="691">
        <v>2</v>
      </c>
      <c r="G631" s="684"/>
      <c r="H631" s="199">
        <f>F631</f>
        <v>2</v>
      </c>
    </row>
    <row r="632" spans="2:8" s="42" customFormat="1" ht="15.75" x14ac:dyDescent="0.25">
      <c r="B632" s="628" t="s">
        <v>529</v>
      </c>
      <c r="C632" s="442" t="s">
        <v>530</v>
      </c>
      <c r="D632" s="60" t="s">
        <v>531</v>
      </c>
      <c r="E632" s="99" t="s">
        <v>67</v>
      </c>
      <c r="F632" s="671" t="s">
        <v>232</v>
      </c>
      <c r="G632" s="671"/>
      <c r="H632" s="192">
        <f>H633</f>
        <v>4</v>
      </c>
    </row>
    <row r="633" spans="2:8" s="42" customFormat="1" ht="15" x14ac:dyDescent="0.25">
      <c r="B633" s="605"/>
      <c r="C633" s="616"/>
      <c r="D633" s="45" t="s">
        <v>523</v>
      </c>
      <c r="E633" s="44" t="s">
        <v>67</v>
      </c>
      <c r="F633" s="691">
        <v>4</v>
      </c>
      <c r="G633" s="684"/>
      <c r="H633" s="199">
        <f>F633</f>
        <v>4</v>
      </c>
    </row>
    <row r="634" spans="2:8" s="42" customFormat="1" ht="15.75" x14ac:dyDescent="0.25">
      <c r="B634" s="628" t="s">
        <v>532</v>
      </c>
      <c r="C634" s="442" t="s">
        <v>533</v>
      </c>
      <c r="D634" s="60" t="s">
        <v>534</v>
      </c>
      <c r="E634" s="99" t="s">
        <v>67</v>
      </c>
      <c r="F634" s="671" t="s">
        <v>232</v>
      </c>
      <c r="G634" s="671"/>
      <c r="H634" s="192">
        <f>H635</f>
        <v>1</v>
      </c>
    </row>
    <row r="635" spans="2:8" s="42" customFormat="1" ht="15" x14ac:dyDescent="0.25">
      <c r="B635" s="605"/>
      <c r="C635" s="616"/>
      <c r="D635" s="45" t="s">
        <v>523</v>
      </c>
      <c r="E635" s="44" t="s">
        <v>67</v>
      </c>
      <c r="F635" s="691">
        <v>1</v>
      </c>
      <c r="G635" s="684"/>
      <c r="H635" s="199">
        <f>F635</f>
        <v>1</v>
      </c>
    </row>
    <row r="636" spans="2:8" s="42" customFormat="1" ht="15.75" x14ac:dyDescent="0.25">
      <c r="B636" s="628" t="s">
        <v>535</v>
      </c>
      <c r="C636" s="442" t="s">
        <v>536</v>
      </c>
      <c r="D636" s="60" t="s">
        <v>537</v>
      </c>
      <c r="E636" s="99" t="s">
        <v>67</v>
      </c>
      <c r="F636" s="671" t="s">
        <v>232</v>
      </c>
      <c r="G636" s="671"/>
      <c r="H636" s="192">
        <f>H637</f>
        <v>8</v>
      </c>
    </row>
    <row r="637" spans="2:8" s="42" customFormat="1" ht="15" x14ac:dyDescent="0.25">
      <c r="B637" s="605"/>
      <c r="C637" s="616"/>
      <c r="D637" s="45" t="s">
        <v>523</v>
      </c>
      <c r="E637" s="44" t="s">
        <v>67</v>
      </c>
      <c r="F637" s="691">
        <v>8</v>
      </c>
      <c r="G637" s="684"/>
      <c r="H637" s="199">
        <f>F637</f>
        <v>8</v>
      </c>
    </row>
    <row r="638" spans="2:8" s="42" customFormat="1" ht="15.75" x14ac:dyDescent="0.25">
      <c r="B638" s="680" t="s">
        <v>538</v>
      </c>
      <c r="C638" s="681"/>
      <c r="D638" s="681"/>
      <c r="E638" s="681"/>
      <c r="F638" s="681"/>
      <c r="G638" s="681"/>
      <c r="H638" s="682"/>
    </row>
    <row r="639" spans="2:8" s="42" customFormat="1" ht="15.75" x14ac:dyDescent="0.25">
      <c r="B639" s="610">
        <v>8</v>
      </c>
      <c r="C639" s="430" t="s">
        <v>539</v>
      </c>
      <c r="D639" s="720" t="s">
        <v>540</v>
      </c>
      <c r="E639" s="681"/>
      <c r="F639" s="681"/>
      <c r="G639" s="721"/>
      <c r="H639" s="195" t="s">
        <v>120</v>
      </c>
    </row>
    <row r="640" spans="2:8" s="42" customFormat="1" ht="31.5" x14ac:dyDescent="0.25">
      <c r="B640" s="598" t="s">
        <v>541</v>
      </c>
      <c r="C640" s="442">
        <v>91007</v>
      </c>
      <c r="D640" s="60" t="s">
        <v>542</v>
      </c>
      <c r="E640" s="99" t="s">
        <v>67</v>
      </c>
      <c r="F640" s="671" t="s">
        <v>68</v>
      </c>
      <c r="G640" s="671"/>
      <c r="H640" s="192">
        <f>H641</f>
        <v>1</v>
      </c>
    </row>
    <row r="641" spans="2:8" s="42" customFormat="1" ht="15" x14ac:dyDescent="0.25">
      <c r="B641" s="605"/>
      <c r="C641" s="616"/>
      <c r="D641" s="45" t="s">
        <v>543</v>
      </c>
      <c r="E641" s="44" t="s">
        <v>67</v>
      </c>
      <c r="F641" s="691">
        <v>1</v>
      </c>
      <c r="G641" s="684"/>
      <c r="H641" s="199">
        <f>F641</f>
        <v>1</v>
      </c>
    </row>
    <row r="642" spans="2:8" s="42" customFormat="1" ht="15.75" x14ac:dyDescent="0.25">
      <c r="B642" s="598" t="s">
        <v>544</v>
      </c>
      <c r="C642" s="442">
        <v>91012</v>
      </c>
      <c r="D642" s="60" t="s">
        <v>545</v>
      </c>
      <c r="E642" s="99" t="s">
        <v>63</v>
      </c>
      <c r="F642" s="671" t="s">
        <v>27</v>
      </c>
      <c r="G642" s="671"/>
      <c r="H642" s="192">
        <f>H643</f>
        <v>12</v>
      </c>
    </row>
    <row r="643" spans="2:8" s="42" customFormat="1" ht="15" x14ac:dyDescent="0.25">
      <c r="B643" s="605"/>
      <c r="C643" s="616"/>
      <c r="D643" s="45" t="s">
        <v>543</v>
      </c>
      <c r="E643" s="44" t="s">
        <v>63</v>
      </c>
      <c r="F643" s="691">
        <v>12</v>
      </c>
      <c r="G643" s="684"/>
      <c r="H643" s="199">
        <f>F643</f>
        <v>12</v>
      </c>
    </row>
    <row r="644" spans="2:8" s="42" customFormat="1" ht="15.75" x14ac:dyDescent="0.25">
      <c r="B644" s="598" t="s">
        <v>546</v>
      </c>
      <c r="C644" s="442">
        <v>91018</v>
      </c>
      <c r="D644" s="60" t="s">
        <v>547</v>
      </c>
      <c r="E644" s="99" t="s">
        <v>67</v>
      </c>
      <c r="F644" s="671" t="s">
        <v>68</v>
      </c>
      <c r="G644" s="671"/>
      <c r="H644" s="192">
        <f>H645</f>
        <v>13</v>
      </c>
    </row>
    <row r="645" spans="2:8" s="42" customFormat="1" ht="15" x14ac:dyDescent="0.25">
      <c r="B645" s="605"/>
      <c r="C645" s="616"/>
      <c r="D645" s="45" t="s">
        <v>543</v>
      </c>
      <c r="E645" s="44" t="s">
        <v>67</v>
      </c>
      <c r="F645" s="691">
        <v>13</v>
      </c>
      <c r="G645" s="684"/>
      <c r="H645" s="199">
        <f>F645</f>
        <v>13</v>
      </c>
    </row>
    <row r="646" spans="2:8" s="42" customFormat="1" ht="15.75" x14ac:dyDescent="0.25">
      <c r="B646" s="598" t="s">
        <v>548</v>
      </c>
      <c r="C646" s="442">
        <v>91020</v>
      </c>
      <c r="D646" s="60" t="s">
        <v>549</v>
      </c>
      <c r="E646" s="99" t="s">
        <v>67</v>
      </c>
      <c r="F646" s="671" t="s">
        <v>68</v>
      </c>
      <c r="G646" s="671"/>
      <c r="H646" s="192">
        <f>H647</f>
        <v>4</v>
      </c>
    </row>
    <row r="647" spans="2:8" s="42" customFormat="1" ht="15" x14ac:dyDescent="0.25">
      <c r="B647" s="689"/>
      <c r="C647" s="690"/>
      <c r="D647" s="45" t="s">
        <v>543</v>
      </c>
      <c r="E647" s="44" t="s">
        <v>67</v>
      </c>
      <c r="F647" s="691">
        <v>4</v>
      </c>
      <c r="G647" s="684"/>
      <c r="H647" s="199">
        <f>F647</f>
        <v>4</v>
      </c>
    </row>
    <row r="648" spans="2:8" s="42" customFormat="1" ht="15.75" x14ac:dyDescent="0.25">
      <c r="B648" s="598" t="s">
        <v>550</v>
      </c>
      <c r="C648" s="442">
        <v>91021</v>
      </c>
      <c r="D648" s="60" t="s">
        <v>551</v>
      </c>
      <c r="E648" s="99" t="s">
        <v>67</v>
      </c>
      <c r="F648" s="671" t="s">
        <v>68</v>
      </c>
      <c r="G648" s="671"/>
      <c r="H648" s="192">
        <f>H649</f>
        <v>4</v>
      </c>
    </row>
    <row r="649" spans="2:8" s="42" customFormat="1" ht="15" x14ac:dyDescent="0.25">
      <c r="B649" s="605"/>
      <c r="C649" s="616"/>
      <c r="D649" s="45" t="s">
        <v>543</v>
      </c>
      <c r="E649" s="44" t="s">
        <v>67</v>
      </c>
      <c r="F649" s="691">
        <v>4</v>
      </c>
      <c r="G649" s="684"/>
      <c r="H649" s="199">
        <f>F649</f>
        <v>4</v>
      </c>
    </row>
    <row r="650" spans="2:8" s="42" customFormat="1" ht="31.5" x14ac:dyDescent="0.25">
      <c r="B650" s="598" t="s">
        <v>552</v>
      </c>
      <c r="C650" s="442">
        <v>91025</v>
      </c>
      <c r="D650" s="60" t="s">
        <v>553</v>
      </c>
      <c r="E650" s="99" t="s">
        <v>67</v>
      </c>
      <c r="F650" s="671" t="s">
        <v>68</v>
      </c>
      <c r="G650" s="671"/>
      <c r="H650" s="192">
        <f>H651</f>
        <v>4</v>
      </c>
    </row>
    <row r="651" spans="2:8" s="42" customFormat="1" ht="15" x14ac:dyDescent="0.25">
      <c r="B651" s="605"/>
      <c r="C651" s="616"/>
      <c r="D651" s="45" t="s">
        <v>543</v>
      </c>
      <c r="E651" s="44" t="s">
        <v>67</v>
      </c>
      <c r="F651" s="691">
        <v>4</v>
      </c>
      <c r="G651" s="684"/>
      <c r="H651" s="199">
        <f>F651</f>
        <v>4</v>
      </c>
    </row>
    <row r="652" spans="2:8" s="42" customFormat="1" ht="15.75" x14ac:dyDescent="0.25">
      <c r="B652" s="598" t="s">
        <v>554</v>
      </c>
      <c r="C652" s="442">
        <v>91029</v>
      </c>
      <c r="D652" s="60" t="s">
        <v>555</v>
      </c>
      <c r="E652" s="99" t="s">
        <v>67</v>
      </c>
      <c r="F652" s="671" t="s">
        <v>68</v>
      </c>
      <c r="G652" s="671"/>
      <c r="H652" s="192">
        <f>H653</f>
        <v>4</v>
      </c>
    </row>
    <row r="653" spans="2:8" s="42" customFormat="1" ht="15" x14ac:dyDescent="0.25">
      <c r="B653" s="605"/>
      <c r="C653" s="616"/>
      <c r="D653" s="45" t="s">
        <v>543</v>
      </c>
      <c r="E653" s="44" t="s">
        <v>67</v>
      </c>
      <c r="F653" s="691">
        <v>4</v>
      </c>
      <c r="G653" s="684"/>
      <c r="H653" s="199">
        <f>F653</f>
        <v>4</v>
      </c>
    </row>
    <row r="654" spans="2:8" s="42" customFormat="1" ht="31.5" x14ac:dyDescent="0.25">
      <c r="B654" s="598" t="s">
        <v>556</v>
      </c>
      <c r="C654" s="442">
        <v>91041</v>
      </c>
      <c r="D654" s="60" t="s">
        <v>557</v>
      </c>
      <c r="E654" s="99" t="s">
        <v>67</v>
      </c>
      <c r="F654" s="671" t="s">
        <v>68</v>
      </c>
      <c r="G654" s="671"/>
      <c r="H654" s="192">
        <f>H655</f>
        <v>4</v>
      </c>
    </row>
    <row r="655" spans="2:8" s="42" customFormat="1" ht="15" x14ac:dyDescent="0.25">
      <c r="B655" s="605"/>
      <c r="C655" s="616"/>
      <c r="D655" s="45" t="s">
        <v>543</v>
      </c>
      <c r="E655" s="44" t="s">
        <v>67</v>
      </c>
      <c r="F655" s="691">
        <v>4</v>
      </c>
      <c r="G655" s="684"/>
      <c r="H655" s="199">
        <f>F655</f>
        <v>4</v>
      </c>
    </row>
    <row r="656" spans="2:8" s="42" customFormat="1" ht="47.25" x14ac:dyDescent="0.25">
      <c r="B656" s="598" t="s">
        <v>558</v>
      </c>
      <c r="C656" s="442">
        <v>91045</v>
      </c>
      <c r="D656" s="60" t="s">
        <v>559</v>
      </c>
      <c r="E656" s="99" t="s">
        <v>67</v>
      </c>
      <c r="F656" s="671" t="s">
        <v>68</v>
      </c>
      <c r="G656" s="671"/>
      <c r="H656" s="192">
        <f>H657</f>
        <v>4</v>
      </c>
    </row>
    <row r="657" spans="1:8" s="42" customFormat="1" ht="15" x14ac:dyDescent="0.25">
      <c r="B657" s="605"/>
      <c r="C657" s="616"/>
      <c r="D657" s="45" t="s">
        <v>543</v>
      </c>
      <c r="E657" s="44" t="s">
        <v>67</v>
      </c>
      <c r="F657" s="691">
        <v>4</v>
      </c>
      <c r="G657" s="684"/>
      <c r="H657" s="199">
        <f>F657</f>
        <v>4</v>
      </c>
    </row>
    <row r="658" spans="1:8" s="42" customFormat="1" ht="15.75" x14ac:dyDescent="0.25">
      <c r="B658" s="598" t="s">
        <v>560</v>
      </c>
      <c r="C658" s="442">
        <v>91046</v>
      </c>
      <c r="D658" s="60" t="s">
        <v>561</v>
      </c>
      <c r="E658" s="99" t="s">
        <v>67</v>
      </c>
      <c r="F658" s="671" t="s">
        <v>68</v>
      </c>
      <c r="G658" s="671"/>
      <c r="H658" s="192">
        <f>H659</f>
        <v>1</v>
      </c>
    </row>
    <row r="659" spans="1:8" s="42" customFormat="1" ht="15" x14ac:dyDescent="0.25">
      <c r="B659" s="605"/>
      <c r="C659" s="616"/>
      <c r="D659" s="45" t="s">
        <v>543</v>
      </c>
      <c r="E659" s="44" t="s">
        <v>67</v>
      </c>
      <c r="F659" s="691">
        <v>1</v>
      </c>
      <c r="G659" s="684"/>
      <c r="H659" s="199">
        <f>F659</f>
        <v>1</v>
      </c>
    </row>
    <row r="660" spans="1:8" s="42" customFormat="1" ht="31.5" x14ac:dyDescent="0.25">
      <c r="B660" s="598" t="s">
        <v>562</v>
      </c>
      <c r="C660" s="442">
        <v>91011</v>
      </c>
      <c r="D660" s="60" t="s">
        <v>563</v>
      </c>
      <c r="E660" s="99" t="s">
        <v>67</v>
      </c>
      <c r="F660" s="671" t="s">
        <v>68</v>
      </c>
      <c r="G660" s="671"/>
      <c r="H660" s="192">
        <f>H661</f>
        <v>2</v>
      </c>
    </row>
    <row r="661" spans="1:8" s="42" customFormat="1" ht="15.75" x14ac:dyDescent="0.25">
      <c r="B661" s="615"/>
      <c r="C661" s="631"/>
      <c r="D661" s="45" t="s">
        <v>543</v>
      </c>
      <c r="E661" s="44" t="s">
        <v>67</v>
      </c>
      <c r="F661" s="734">
        <v>2</v>
      </c>
      <c r="G661" s="735"/>
      <c r="H661" s="194">
        <f>F661</f>
        <v>2</v>
      </c>
    </row>
    <row r="662" spans="1:8" s="42" customFormat="1" ht="15.75" x14ac:dyDescent="0.25">
      <c r="B662" s="740" t="s">
        <v>564</v>
      </c>
      <c r="C662" s="728"/>
      <c r="D662" s="741"/>
      <c r="E662" s="741"/>
      <c r="F662" s="741"/>
      <c r="G662" s="741"/>
      <c r="H662" s="742"/>
    </row>
    <row r="663" spans="1:8" s="42" customFormat="1" ht="15.75" x14ac:dyDescent="0.25">
      <c r="B663" s="610">
        <v>9</v>
      </c>
      <c r="C663" s="430">
        <v>100000</v>
      </c>
      <c r="D663" s="728" t="s">
        <v>565</v>
      </c>
      <c r="E663" s="728"/>
      <c r="F663" s="728"/>
      <c r="G663" s="728"/>
      <c r="H663" s="195" t="s">
        <v>120</v>
      </c>
    </row>
    <row r="664" spans="1:8" s="42" customFormat="1" ht="15.75" x14ac:dyDescent="0.25">
      <c r="A664" s="89"/>
      <c r="B664" s="598" t="s">
        <v>566</v>
      </c>
      <c r="C664" s="442">
        <v>100160</v>
      </c>
      <c r="D664" s="60" t="s">
        <v>567</v>
      </c>
      <c r="E664" s="99" t="s">
        <v>17</v>
      </c>
      <c r="F664" s="272" t="s">
        <v>27</v>
      </c>
      <c r="G664" s="272" t="s">
        <v>19</v>
      </c>
      <c r="H664" s="192">
        <f>SUM(H665:H681,H682,H686)</f>
        <v>606.22400000000005</v>
      </c>
    </row>
    <row r="665" spans="1:8" s="42" customFormat="1" ht="15" x14ac:dyDescent="0.25">
      <c r="B665" s="613"/>
      <c r="C665" s="614"/>
      <c r="D665" s="45" t="s">
        <v>568</v>
      </c>
      <c r="E665" s="44" t="s">
        <v>17</v>
      </c>
      <c r="F665" s="43">
        <f>7.55*2+5.25</f>
        <v>20.350000000000001</v>
      </c>
      <c r="G665" s="43">
        <v>3</v>
      </c>
      <c r="H665" s="199">
        <f>F665*G665</f>
        <v>61.050000000000004</v>
      </c>
    </row>
    <row r="666" spans="1:8" s="42" customFormat="1" ht="15" x14ac:dyDescent="0.25">
      <c r="B666" s="599"/>
      <c r="C666" s="600"/>
      <c r="D666" s="45" t="s">
        <v>353</v>
      </c>
      <c r="E666" s="44" t="s">
        <v>17</v>
      </c>
      <c r="F666" s="43">
        <f>2.2*2+3.5</f>
        <v>7.9</v>
      </c>
      <c r="G666" s="43">
        <v>3</v>
      </c>
      <c r="H666" s="199">
        <f t="shared" ref="H666:H677" si="26">F666*G666</f>
        <v>23.700000000000003</v>
      </c>
    </row>
    <row r="667" spans="1:8" s="42" customFormat="1" ht="15" x14ac:dyDescent="0.25">
      <c r="B667" s="599"/>
      <c r="C667" s="600"/>
      <c r="D667" s="45" t="s">
        <v>569</v>
      </c>
      <c r="E667" s="44" t="s">
        <v>17</v>
      </c>
      <c r="F667" s="43">
        <f>2.2*2+1.4*2</f>
        <v>7.2</v>
      </c>
      <c r="G667" s="43">
        <v>3</v>
      </c>
      <c r="H667" s="199">
        <f t="shared" si="26"/>
        <v>21.6</v>
      </c>
    </row>
    <row r="668" spans="1:8" s="42" customFormat="1" ht="15" x14ac:dyDescent="0.25">
      <c r="B668" s="599"/>
      <c r="C668" s="600"/>
      <c r="D668" s="45" t="s">
        <v>570</v>
      </c>
      <c r="E668" s="44" t="s">
        <v>17</v>
      </c>
      <c r="F668" s="43">
        <f>2.2*2+1.4*2</f>
        <v>7.2</v>
      </c>
      <c r="G668" s="43">
        <v>3</v>
      </c>
      <c r="H668" s="199">
        <f t="shared" si="26"/>
        <v>21.6</v>
      </c>
    </row>
    <row r="669" spans="1:8" s="42" customFormat="1" ht="15" x14ac:dyDescent="0.25">
      <c r="B669" s="599"/>
      <c r="C669" s="600"/>
      <c r="D669" s="45" t="s">
        <v>331</v>
      </c>
      <c r="E669" s="44" t="s">
        <v>17</v>
      </c>
      <c r="F669" s="43">
        <v>7.45</v>
      </c>
      <c r="G669" s="43">
        <v>3</v>
      </c>
      <c r="H669" s="199">
        <f t="shared" si="26"/>
        <v>22.35</v>
      </c>
    </row>
    <row r="670" spans="1:8" s="42" customFormat="1" ht="15" x14ac:dyDescent="0.25">
      <c r="B670" s="599"/>
      <c r="C670" s="600"/>
      <c r="D670" s="41" t="s">
        <v>571</v>
      </c>
      <c r="E670" s="44" t="s">
        <v>17</v>
      </c>
      <c r="F670" s="43">
        <f>4.25*2+2.5*2</f>
        <v>13.5</v>
      </c>
      <c r="G670" s="43">
        <v>3</v>
      </c>
      <c r="H670" s="199">
        <f t="shared" si="26"/>
        <v>40.5</v>
      </c>
    </row>
    <row r="671" spans="1:8" s="42" customFormat="1" ht="15" x14ac:dyDescent="0.25">
      <c r="B671" s="599"/>
      <c r="C671" s="600"/>
      <c r="D671" s="40" t="s">
        <v>572</v>
      </c>
      <c r="E671" s="44" t="s">
        <v>17</v>
      </c>
      <c r="F671" s="43">
        <f>2*2+1.2*2</f>
        <v>6.4</v>
      </c>
      <c r="G671" s="43">
        <v>3</v>
      </c>
      <c r="H671" s="199">
        <f t="shared" si="26"/>
        <v>19.200000000000003</v>
      </c>
    </row>
    <row r="672" spans="1:8" s="42" customFormat="1" ht="15" x14ac:dyDescent="0.25">
      <c r="B672" s="599"/>
      <c r="C672" s="600"/>
      <c r="D672" s="45" t="s">
        <v>28</v>
      </c>
      <c r="E672" s="44" t="s">
        <v>17</v>
      </c>
      <c r="F672" s="43">
        <f>6.3*2+4.7*2</f>
        <v>22</v>
      </c>
      <c r="G672" s="43">
        <v>3</v>
      </c>
      <c r="H672" s="199">
        <f t="shared" si="26"/>
        <v>66</v>
      </c>
    </row>
    <row r="673" spans="2:8" s="42" customFormat="1" ht="15" x14ac:dyDescent="0.25">
      <c r="B673" s="599"/>
      <c r="C673" s="600"/>
      <c r="D673" s="45" t="s">
        <v>21</v>
      </c>
      <c r="E673" s="44" t="s">
        <v>17</v>
      </c>
      <c r="F673" s="43">
        <f>4.75*2+4.7</f>
        <v>14.2</v>
      </c>
      <c r="G673" s="43">
        <v>3</v>
      </c>
      <c r="H673" s="199">
        <f t="shared" si="26"/>
        <v>42.599999999999994</v>
      </c>
    </row>
    <row r="674" spans="2:8" s="42" customFormat="1" ht="15" x14ac:dyDescent="0.25">
      <c r="B674" s="599"/>
      <c r="C674" s="600"/>
      <c r="D674" s="45" t="s">
        <v>22</v>
      </c>
      <c r="E674" s="44" t="s">
        <v>17</v>
      </c>
      <c r="F674" s="43">
        <f>6.5*2+4.9*2</f>
        <v>22.8</v>
      </c>
      <c r="G674" s="43">
        <v>3</v>
      </c>
      <c r="H674" s="199">
        <f t="shared" si="26"/>
        <v>68.400000000000006</v>
      </c>
    </row>
    <row r="675" spans="2:8" s="42" customFormat="1" ht="15" x14ac:dyDescent="0.25">
      <c r="B675" s="599"/>
      <c r="C675" s="600"/>
      <c r="D675" s="45" t="s">
        <v>573</v>
      </c>
      <c r="E675" s="44" t="s">
        <v>17</v>
      </c>
      <c r="F675" s="43">
        <f>3.25*1*5</f>
        <v>16.25</v>
      </c>
      <c r="G675" s="43">
        <v>3</v>
      </c>
      <c r="H675" s="199">
        <f t="shared" si="26"/>
        <v>48.75</v>
      </c>
    </row>
    <row r="676" spans="2:8" s="42" customFormat="1" ht="15" x14ac:dyDescent="0.25">
      <c r="B676" s="599"/>
      <c r="C676" s="600"/>
      <c r="D676" s="45" t="s">
        <v>574</v>
      </c>
      <c r="E676" s="44" t="s">
        <v>17</v>
      </c>
      <c r="F676" s="43">
        <f>1.35*50</f>
        <v>67.5</v>
      </c>
      <c r="G676" s="43">
        <v>3</v>
      </c>
      <c r="H676" s="199">
        <f t="shared" si="26"/>
        <v>202.5</v>
      </c>
    </row>
    <row r="677" spans="2:8" s="42" customFormat="1" ht="15" x14ac:dyDescent="0.25">
      <c r="B677" s="599"/>
      <c r="C677" s="600"/>
      <c r="D677" s="45" t="s">
        <v>575</v>
      </c>
      <c r="E677" s="44" t="s">
        <v>17</v>
      </c>
      <c r="F677" s="331">
        <f>1.5*2+2</f>
        <v>5</v>
      </c>
      <c r="G677" s="43">
        <v>3</v>
      </c>
      <c r="H677" s="199">
        <f t="shared" si="26"/>
        <v>15</v>
      </c>
    </row>
    <row r="678" spans="2:8" s="42" customFormat="1" ht="15" x14ac:dyDescent="0.25">
      <c r="B678" s="599"/>
      <c r="C678" s="600"/>
      <c r="D678" s="349" t="s">
        <v>576</v>
      </c>
      <c r="E678" s="44" t="s">
        <v>17</v>
      </c>
      <c r="F678" s="333">
        <v>-1.2</v>
      </c>
      <c r="G678" s="263">
        <v>1.8</v>
      </c>
      <c r="H678" s="199">
        <f>F678*G678</f>
        <v>-2.16</v>
      </c>
    </row>
    <row r="679" spans="2:8" s="42" customFormat="1" ht="15" x14ac:dyDescent="0.25">
      <c r="B679" s="599"/>
      <c r="C679" s="600"/>
      <c r="D679" s="45" t="s">
        <v>577</v>
      </c>
      <c r="E679" s="44" t="s">
        <v>17</v>
      </c>
      <c r="F679" s="16">
        <f>-(0.8*5+0.7*2+1*2+7*0.9)</f>
        <v>-13.7</v>
      </c>
      <c r="G679" s="43">
        <v>2.1</v>
      </c>
      <c r="H679" s="199">
        <f xml:space="preserve"> F679*G679</f>
        <v>-28.77</v>
      </c>
    </row>
    <row r="680" spans="2:8" s="42" customFormat="1" ht="15" x14ac:dyDescent="0.25">
      <c r="B680" s="599"/>
      <c r="C680" s="600"/>
      <c r="D680" s="45" t="s">
        <v>578</v>
      </c>
      <c r="E680" s="44" t="s">
        <v>17</v>
      </c>
      <c r="F680" s="43">
        <f>-(1.8*0.6+0.6*0.6*4+1.8*1.2*3+0.6*1*3+1.5+9*1.8*1.2+6*0.6*1.8)</f>
        <v>-38.22</v>
      </c>
      <c r="G680" s="43">
        <v>1</v>
      </c>
      <c r="H680" s="199">
        <f>F680</f>
        <v>-38.22</v>
      </c>
    </row>
    <row r="681" spans="2:8" s="42" customFormat="1" ht="15" x14ac:dyDescent="0.25">
      <c r="B681" s="599"/>
      <c r="C681" s="600"/>
      <c r="D681" s="45" t="s">
        <v>571</v>
      </c>
      <c r="E681" s="44" t="s">
        <v>17</v>
      </c>
      <c r="F681" s="43">
        <v>1.6</v>
      </c>
      <c r="G681" s="43">
        <v>0.5</v>
      </c>
      <c r="H681" s="199">
        <f>F681*G681*3</f>
        <v>2.4000000000000004</v>
      </c>
    </row>
    <row r="682" spans="2:8" s="42" customFormat="1" ht="15.75" x14ac:dyDescent="0.25">
      <c r="B682" s="599"/>
      <c r="C682" s="600"/>
      <c r="D682" s="378" t="s">
        <v>579</v>
      </c>
      <c r="E682" s="379" t="s">
        <v>17</v>
      </c>
      <c r="F682" s="380" t="s">
        <v>27</v>
      </c>
      <c r="G682" s="380" t="s">
        <v>40</v>
      </c>
      <c r="H682" s="381">
        <f>SUM(H683:H685)</f>
        <v>16.880000000000003</v>
      </c>
    </row>
    <row r="683" spans="2:8" s="42" customFormat="1" ht="15" x14ac:dyDescent="0.25">
      <c r="B683" s="599"/>
      <c r="C683" s="600"/>
      <c r="D683" s="204" t="s">
        <v>580</v>
      </c>
      <c r="E683" s="382" t="s">
        <v>17</v>
      </c>
      <c r="F683" s="383">
        <f>2.2*2+1*2</f>
        <v>6.4</v>
      </c>
      <c r="G683" s="383">
        <v>3</v>
      </c>
      <c r="H683" s="384">
        <f>G683*F683</f>
        <v>19.200000000000003</v>
      </c>
    </row>
    <row r="684" spans="2:8" s="42" customFormat="1" ht="15" x14ac:dyDescent="0.25">
      <c r="B684" s="599"/>
      <c r="C684" s="600"/>
      <c r="D684" s="204" t="s">
        <v>581</v>
      </c>
      <c r="E684" s="382" t="s">
        <v>17</v>
      </c>
      <c r="F684" s="383">
        <v>0.8</v>
      </c>
      <c r="G684" s="383">
        <v>1.8</v>
      </c>
      <c r="H684" s="384">
        <f>-G684*F684</f>
        <v>-1.4400000000000002</v>
      </c>
    </row>
    <row r="685" spans="2:8" s="42" customFormat="1" ht="15" x14ac:dyDescent="0.25">
      <c r="B685" s="599"/>
      <c r="C685" s="600"/>
      <c r="D685" s="204" t="s">
        <v>582</v>
      </c>
      <c r="E685" s="382" t="s">
        <v>17</v>
      </c>
      <c r="F685" s="383">
        <v>-2.2000000000000002</v>
      </c>
      <c r="G685" s="383">
        <v>0.4</v>
      </c>
      <c r="H685" s="384">
        <f>G685*F685</f>
        <v>-0.88000000000000012</v>
      </c>
    </row>
    <row r="686" spans="2:8" s="42" customFormat="1" ht="15.75" x14ac:dyDescent="0.25">
      <c r="B686" s="599"/>
      <c r="C686" s="632"/>
      <c r="D686" s="378" t="s">
        <v>583</v>
      </c>
      <c r="E686" s="379" t="s">
        <v>17</v>
      </c>
      <c r="F686" s="380" t="s">
        <v>27</v>
      </c>
      <c r="G686" s="380" t="s">
        <v>40</v>
      </c>
      <c r="H686" s="381">
        <f>SUM(H687:H688)</f>
        <v>2.8440000000000003</v>
      </c>
    </row>
    <row r="687" spans="2:8" s="42" customFormat="1" ht="15" x14ac:dyDescent="0.25">
      <c r="B687" s="599"/>
      <c r="C687" s="632"/>
      <c r="D687" s="450" t="s">
        <v>584</v>
      </c>
      <c r="E687" s="44" t="s">
        <v>17</v>
      </c>
      <c r="F687" s="452">
        <v>2</v>
      </c>
      <c r="G687" s="452">
        <v>0.9</v>
      </c>
      <c r="H687" s="453">
        <f>F687*G687</f>
        <v>1.8</v>
      </c>
    </row>
    <row r="688" spans="2:8" s="42" customFormat="1" ht="15" x14ac:dyDescent="0.25">
      <c r="B688" s="599"/>
      <c r="C688" s="632"/>
      <c r="D688" s="451" t="s">
        <v>585</v>
      </c>
      <c r="E688" s="44" t="s">
        <v>17</v>
      </c>
      <c r="F688" s="452">
        <v>0.57999999999999996</v>
      </c>
      <c r="G688" s="452">
        <v>0.9</v>
      </c>
      <c r="H688" s="453">
        <f>2*F688*G688</f>
        <v>1.044</v>
      </c>
    </row>
    <row r="689" spans="2:8" s="42" customFormat="1" ht="15.75" x14ac:dyDescent="0.25">
      <c r="B689" s="598" t="s">
        <v>586</v>
      </c>
      <c r="C689" s="442">
        <v>100320</v>
      </c>
      <c r="D689" s="60" t="s">
        <v>587</v>
      </c>
      <c r="E689" s="99" t="s">
        <v>17</v>
      </c>
      <c r="F689" s="164" t="s">
        <v>27</v>
      </c>
      <c r="G689" s="164" t="s">
        <v>19</v>
      </c>
      <c r="H689" s="192">
        <f>SUM(H690,H694)</f>
        <v>19.439999999999998</v>
      </c>
    </row>
    <row r="690" spans="2:8" s="42" customFormat="1" ht="15.75" x14ac:dyDescent="0.25">
      <c r="B690" s="747"/>
      <c r="C690" s="748"/>
      <c r="D690" s="95" t="s">
        <v>588</v>
      </c>
      <c r="E690" s="96" t="s">
        <v>17</v>
      </c>
      <c r="F690" s="97" t="s">
        <v>27</v>
      </c>
      <c r="G690" s="97" t="s">
        <v>19</v>
      </c>
      <c r="H690" s="196">
        <f>H691+H692+H693</f>
        <v>9.7199999999999989</v>
      </c>
    </row>
    <row r="691" spans="2:8" s="42" customFormat="1" ht="15" x14ac:dyDescent="0.2">
      <c r="B691" s="749"/>
      <c r="C691" s="750"/>
      <c r="D691" s="100" t="s">
        <v>589</v>
      </c>
      <c r="E691" s="44" t="s">
        <v>17</v>
      </c>
      <c r="F691" s="43">
        <f>1.2+0.6</f>
        <v>1.7999999999999998</v>
      </c>
      <c r="G691" s="43">
        <v>1.8</v>
      </c>
      <c r="H691" s="193">
        <f>F691*G691</f>
        <v>3.2399999999999998</v>
      </c>
    </row>
    <row r="692" spans="2:8" s="42" customFormat="1" ht="15" x14ac:dyDescent="0.2">
      <c r="B692" s="749"/>
      <c r="C692" s="750"/>
      <c r="D692" s="100" t="s">
        <v>590</v>
      </c>
      <c r="E692" s="44" t="s">
        <v>17</v>
      </c>
      <c r="F692" s="43">
        <f>1.2+0.6</f>
        <v>1.7999999999999998</v>
      </c>
      <c r="G692" s="43">
        <v>1.8</v>
      </c>
      <c r="H692" s="193">
        <f t="shared" ref="H692:H697" si="27">F692*G692</f>
        <v>3.2399999999999998</v>
      </c>
    </row>
    <row r="693" spans="2:8" s="42" customFormat="1" ht="15" x14ac:dyDescent="0.2">
      <c r="B693" s="749"/>
      <c r="C693" s="750"/>
      <c r="D693" s="100" t="s">
        <v>591</v>
      </c>
      <c r="E693" s="44" t="s">
        <v>17</v>
      </c>
      <c r="F693" s="43">
        <f>1.2+0.6</f>
        <v>1.7999999999999998</v>
      </c>
      <c r="G693" s="43">
        <v>1.8</v>
      </c>
      <c r="H693" s="193">
        <f t="shared" si="27"/>
        <v>3.2399999999999998</v>
      </c>
    </row>
    <row r="694" spans="2:8" s="42" customFormat="1" ht="15.75" x14ac:dyDescent="0.25">
      <c r="B694" s="749"/>
      <c r="C694" s="750"/>
      <c r="D694" s="95" t="s">
        <v>592</v>
      </c>
      <c r="E694" s="96" t="s">
        <v>17</v>
      </c>
      <c r="F694" s="97" t="s">
        <v>27</v>
      </c>
      <c r="G694" s="97" t="s">
        <v>19</v>
      </c>
      <c r="H694" s="394">
        <f>SUM(H695:H697)</f>
        <v>9.7199999999999989</v>
      </c>
    </row>
    <row r="695" spans="2:8" s="42" customFormat="1" ht="15" x14ac:dyDescent="0.2">
      <c r="B695" s="749"/>
      <c r="C695" s="750"/>
      <c r="D695" s="100" t="s">
        <v>589</v>
      </c>
      <c r="E695" s="44" t="s">
        <v>17</v>
      </c>
      <c r="F695" s="43">
        <f>1.2+0.6</f>
        <v>1.7999999999999998</v>
      </c>
      <c r="G695" s="43">
        <v>1.8</v>
      </c>
      <c r="H695" s="193">
        <f>F695*G695</f>
        <v>3.2399999999999998</v>
      </c>
    </row>
    <row r="696" spans="2:8" s="42" customFormat="1" ht="15" x14ac:dyDescent="0.2">
      <c r="B696" s="749"/>
      <c r="C696" s="750"/>
      <c r="D696" s="100" t="s">
        <v>590</v>
      </c>
      <c r="E696" s="44" t="s">
        <v>17</v>
      </c>
      <c r="F696" s="43">
        <f>1.2+0.6</f>
        <v>1.7999999999999998</v>
      </c>
      <c r="G696" s="43">
        <v>1.8</v>
      </c>
      <c r="H696" s="193">
        <f t="shared" si="27"/>
        <v>3.2399999999999998</v>
      </c>
    </row>
    <row r="697" spans="2:8" s="42" customFormat="1" ht="15" x14ac:dyDescent="0.2">
      <c r="B697" s="749"/>
      <c r="C697" s="750"/>
      <c r="D697" s="100" t="s">
        <v>591</v>
      </c>
      <c r="E697" s="44" t="s">
        <v>17</v>
      </c>
      <c r="F697" s="43">
        <f>1.2+0.6</f>
        <v>1.7999999999999998</v>
      </c>
      <c r="G697" s="43">
        <v>1.8</v>
      </c>
      <c r="H697" s="193">
        <f t="shared" si="27"/>
        <v>3.2399999999999998</v>
      </c>
    </row>
    <row r="698" spans="2:8" s="42" customFormat="1" ht="15.75" x14ac:dyDescent="0.25">
      <c r="B698" s="598" t="s">
        <v>593</v>
      </c>
      <c r="C698" s="442">
        <v>100502</v>
      </c>
      <c r="D698" s="51" t="s">
        <v>594</v>
      </c>
      <c r="E698" s="385" t="s">
        <v>17</v>
      </c>
      <c r="F698" s="386" t="s">
        <v>27</v>
      </c>
      <c r="G698" s="386" t="s">
        <v>40</v>
      </c>
      <c r="H698" s="387">
        <f>SUM(H699:H700)</f>
        <v>2.8</v>
      </c>
    </row>
    <row r="699" spans="2:8" s="42" customFormat="1" ht="15" x14ac:dyDescent="0.2">
      <c r="B699" s="755"/>
      <c r="C699" s="756"/>
      <c r="D699" s="376" t="s">
        <v>579</v>
      </c>
      <c r="E699" s="382" t="s">
        <v>17</v>
      </c>
      <c r="F699" s="368">
        <v>2.2000000000000002</v>
      </c>
      <c r="G699" s="368">
        <v>0.4</v>
      </c>
      <c r="H699" s="388">
        <f>G699*F699</f>
        <v>0.88000000000000012</v>
      </c>
    </row>
    <row r="700" spans="2:8" s="42" customFormat="1" ht="15" x14ac:dyDescent="0.25">
      <c r="B700" s="712"/>
      <c r="C700" s="713"/>
      <c r="D700" s="450" t="s">
        <v>64</v>
      </c>
      <c r="E700" s="382" t="s">
        <v>17</v>
      </c>
      <c r="F700" s="452">
        <v>1.92</v>
      </c>
      <c r="G700" s="452">
        <v>1</v>
      </c>
      <c r="H700" s="453">
        <f>F700*G700</f>
        <v>1.92</v>
      </c>
    </row>
    <row r="701" spans="2:8" s="42" customFormat="1" ht="15.75" x14ac:dyDescent="0.25">
      <c r="B701" s="740" t="s">
        <v>595</v>
      </c>
      <c r="C701" s="728"/>
      <c r="D701" s="741"/>
      <c r="E701" s="741"/>
      <c r="F701" s="741"/>
      <c r="G701" s="741"/>
      <c r="H701" s="742"/>
    </row>
    <row r="702" spans="2:8" s="42" customFormat="1" ht="15.75" x14ac:dyDescent="0.25">
      <c r="B702" s="610">
        <v>10</v>
      </c>
      <c r="C702" s="430">
        <v>120000</v>
      </c>
      <c r="D702" s="728" t="s">
        <v>596</v>
      </c>
      <c r="E702" s="728"/>
      <c r="F702" s="728"/>
      <c r="G702" s="728"/>
      <c r="H702" s="195" t="s">
        <v>120</v>
      </c>
    </row>
    <row r="703" spans="2:8" s="42" customFormat="1" ht="15.75" x14ac:dyDescent="0.25">
      <c r="B703" s="598" t="s">
        <v>597</v>
      </c>
      <c r="C703" s="442">
        <v>120208</v>
      </c>
      <c r="D703" s="52" t="s">
        <v>598</v>
      </c>
      <c r="E703" s="99" t="s">
        <v>17</v>
      </c>
      <c r="F703" s="164" t="s">
        <v>27</v>
      </c>
      <c r="G703" s="164" t="s">
        <v>19</v>
      </c>
      <c r="H703" s="192">
        <f>H704+H706+H708+H710+H712+H714+H716+H718+H720+H722+H724+H726+H728+H730+H732+H734+H736+H739+H742+H745+H748+H751+H754+H757</f>
        <v>464.08000000000004</v>
      </c>
    </row>
    <row r="704" spans="2:8" s="42" customFormat="1" ht="15.75" x14ac:dyDescent="0.25">
      <c r="B704" s="613"/>
      <c r="C704" s="614"/>
      <c r="D704" s="101" t="s">
        <v>568</v>
      </c>
      <c r="E704" s="96" t="s">
        <v>17</v>
      </c>
      <c r="F704" s="97" t="s">
        <v>27</v>
      </c>
      <c r="G704" s="97" t="s">
        <v>19</v>
      </c>
      <c r="H704" s="201">
        <f>H705</f>
        <v>39.637499999999996</v>
      </c>
    </row>
    <row r="705" spans="2:8" s="42" customFormat="1" ht="15" x14ac:dyDescent="0.25">
      <c r="B705" s="599"/>
      <c r="C705" s="600"/>
      <c r="D705" s="40" t="s">
        <v>599</v>
      </c>
      <c r="E705" s="140" t="s">
        <v>17</v>
      </c>
      <c r="F705" s="167">
        <v>7.55</v>
      </c>
      <c r="G705" s="167">
        <v>5.25</v>
      </c>
      <c r="H705" s="191">
        <f>F705*G705</f>
        <v>39.637499999999996</v>
      </c>
    </row>
    <row r="706" spans="2:8" s="42" customFormat="1" ht="15.75" x14ac:dyDescent="0.25">
      <c r="B706" s="599"/>
      <c r="C706" s="600"/>
      <c r="D706" s="101" t="s">
        <v>353</v>
      </c>
      <c r="E706" s="96" t="s">
        <v>17</v>
      </c>
      <c r="F706" s="97" t="s">
        <v>27</v>
      </c>
      <c r="G706" s="97" t="s">
        <v>19</v>
      </c>
      <c r="H706" s="201">
        <f>H707</f>
        <v>7.7000000000000011</v>
      </c>
    </row>
    <row r="707" spans="2:8" s="42" customFormat="1" ht="15" x14ac:dyDescent="0.25">
      <c r="B707" s="599"/>
      <c r="C707" s="600"/>
      <c r="D707" s="40" t="s">
        <v>600</v>
      </c>
      <c r="E707" s="140" t="s">
        <v>17</v>
      </c>
      <c r="F707" s="167">
        <v>3.5</v>
      </c>
      <c r="G707" s="167">
        <v>2.2000000000000002</v>
      </c>
      <c r="H707" s="191">
        <f t="shared" ref="H707:H729" si="28">F707*G707</f>
        <v>7.7000000000000011</v>
      </c>
    </row>
    <row r="708" spans="2:8" s="42" customFormat="1" ht="15.75" x14ac:dyDescent="0.25">
      <c r="B708" s="599"/>
      <c r="C708" s="600"/>
      <c r="D708" s="101" t="s">
        <v>601</v>
      </c>
      <c r="E708" s="96" t="s">
        <v>17</v>
      </c>
      <c r="F708" s="97" t="s">
        <v>27</v>
      </c>
      <c r="G708" s="97" t="s">
        <v>19</v>
      </c>
      <c r="H708" s="201">
        <f>H709</f>
        <v>3.08</v>
      </c>
    </row>
    <row r="709" spans="2:8" s="42" customFormat="1" ht="15" x14ac:dyDescent="0.25">
      <c r="B709" s="599"/>
      <c r="C709" s="600"/>
      <c r="D709" s="45" t="s">
        <v>602</v>
      </c>
      <c r="E709" s="140" t="s">
        <v>17</v>
      </c>
      <c r="F709" s="165">
        <v>2.2000000000000002</v>
      </c>
      <c r="G709" s="165">
        <v>1.4</v>
      </c>
      <c r="H709" s="191">
        <f t="shared" si="28"/>
        <v>3.08</v>
      </c>
    </row>
    <row r="710" spans="2:8" s="42" customFormat="1" ht="15.75" x14ac:dyDescent="0.25">
      <c r="B710" s="599"/>
      <c r="C710" s="600"/>
      <c r="D710" s="101" t="s">
        <v>603</v>
      </c>
      <c r="E710" s="96" t="s">
        <v>17</v>
      </c>
      <c r="F710" s="97" t="s">
        <v>27</v>
      </c>
      <c r="G710" s="97" t="s">
        <v>19</v>
      </c>
      <c r="H710" s="201">
        <f>H711</f>
        <v>3.08</v>
      </c>
    </row>
    <row r="711" spans="2:8" s="42" customFormat="1" ht="15" x14ac:dyDescent="0.25">
      <c r="B711" s="599"/>
      <c r="C711" s="600"/>
      <c r="D711" s="45" t="s">
        <v>604</v>
      </c>
      <c r="E711" s="140" t="s">
        <v>17</v>
      </c>
      <c r="F711" s="165">
        <v>2.2000000000000002</v>
      </c>
      <c r="G711" s="165">
        <v>1.4</v>
      </c>
      <c r="H711" s="191">
        <f t="shared" si="28"/>
        <v>3.08</v>
      </c>
    </row>
    <row r="712" spans="2:8" s="42" customFormat="1" ht="15.75" x14ac:dyDescent="0.25">
      <c r="B712" s="599"/>
      <c r="C712" s="600"/>
      <c r="D712" s="101" t="s">
        <v>572</v>
      </c>
      <c r="E712" s="96" t="s">
        <v>17</v>
      </c>
      <c r="F712" s="97" t="s">
        <v>27</v>
      </c>
      <c r="G712" s="97" t="s">
        <v>19</v>
      </c>
      <c r="H712" s="201">
        <f>H713</f>
        <v>2.4</v>
      </c>
    </row>
    <row r="713" spans="2:8" s="42" customFormat="1" ht="15" x14ac:dyDescent="0.25">
      <c r="B713" s="599"/>
      <c r="C713" s="600"/>
      <c r="D713" s="45" t="s">
        <v>605</v>
      </c>
      <c r="E713" s="140" t="s">
        <v>17</v>
      </c>
      <c r="F713" s="165">
        <v>1.2</v>
      </c>
      <c r="G713" s="165">
        <v>2</v>
      </c>
      <c r="H713" s="191">
        <f t="shared" si="28"/>
        <v>2.4</v>
      </c>
    </row>
    <row r="714" spans="2:8" s="42" customFormat="1" ht="15.75" x14ac:dyDescent="0.25">
      <c r="B714" s="599"/>
      <c r="C714" s="600"/>
      <c r="D714" s="101" t="s">
        <v>606</v>
      </c>
      <c r="E714" s="96" t="s">
        <v>17</v>
      </c>
      <c r="F714" s="97" t="s">
        <v>27</v>
      </c>
      <c r="G714" s="97" t="s">
        <v>19</v>
      </c>
      <c r="H714" s="201">
        <f>H715</f>
        <v>10.625</v>
      </c>
    </row>
    <row r="715" spans="2:8" s="42" customFormat="1" ht="15" x14ac:dyDescent="0.25">
      <c r="B715" s="599"/>
      <c r="C715" s="600"/>
      <c r="D715" s="45" t="s">
        <v>607</v>
      </c>
      <c r="E715" s="140" t="s">
        <v>17</v>
      </c>
      <c r="F715" s="167">
        <v>4.25</v>
      </c>
      <c r="G715" s="167">
        <v>2.5</v>
      </c>
      <c r="H715" s="191">
        <f t="shared" si="28"/>
        <v>10.625</v>
      </c>
    </row>
    <row r="716" spans="2:8" s="42" customFormat="1" ht="15.75" x14ac:dyDescent="0.25">
      <c r="B716" s="599"/>
      <c r="C716" s="600"/>
      <c r="D716" s="101" t="s">
        <v>331</v>
      </c>
      <c r="E716" s="96" t="s">
        <v>17</v>
      </c>
      <c r="F716" s="97" t="s">
        <v>27</v>
      </c>
      <c r="G716" s="97" t="s">
        <v>19</v>
      </c>
      <c r="H716" s="201">
        <f>H717</f>
        <v>18.480000000000004</v>
      </c>
    </row>
    <row r="717" spans="2:8" s="42" customFormat="1" ht="15" x14ac:dyDescent="0.25">
      <c r="B717" s="599"/>
      <c r="C717" s="600"/>
      <c r="D717" s="45" t="s">
        <v>608</v>
      </c>
      <c r="E717" s="140" t="s">
        <v>17</v>
      </c>
      <c r="F717" s="167">
        <v>2.1</v>
      </c>
      <c r="G717" s="167">
        <v>8.8000000000000007</v>
      </c>
      <c r="H717" s="191">
        <f t="shared" si="28"/>
        <v>18.480000000000004</v>
      </c>
    </row>
    <row r="718" spans="2:8" s="42" customFormat="1" ht="15.75" x14ac:dyDescent="0.25">
      <c r="B718" s="599"/>
      <c r="C718" s="600"/>
      <c r="D718" s="101" t="s">
        <v>28</v>
      </c>
      <c r="E718" s="96" t="s">
        <v>17</v>
      </c>
      <c r="F718" s="97" t="s">
        <v>27</v>
      </c>
      <c r="G718" s="97" t="s">
        <v>19</v>
      </c>
      <c r="H718" s="201">
        <f>H719</f>
        <v>29.61</v>
      </c>
    </row>
    <row r="719" spans="2:8" s="42" customFormat="1" ht="15" x14ac:dyDescent="0.25">
      <c r="B719" s="599"/>
      <c r="C719" s="600"/>
      <c r="D719" s="45" t="s">
        <v>609</v>
      </c>
      <c r="E719" s="140" t="s">
        <v>17</v>
      </c>
      <c r="F719" s="129">
        <v>4.7</v>
      </c>
      <c r="G719" s="129">
        <v>6.3</v>
      </c>
      <c r="H719" s="191">
        <f t="shared" si="28"/>
        <v>29.61</v>
      </c>
    </row>
    <row r="720" spans="2:8" s="42" customFormat="1" ht="15.75" x14ac:dyDescent="0.25">
      <c r="B720" s="599"/>
      <c r="C720" s="600"/>
      <c r="D720" s="101" t="s">
        <v>21</v>
      </c>
      <c r="E720" s="96" t="s">
        <v>17</v>
      </c>
      <c r="F720" s="97" t="s">
        <v>27</v>
      </c>
      <c r="G720" s="97" t="s">
        <v>19</v>
      </c>
      <c r="H720" s="201">
        <f>H721</f>
        <v>22.324999999999999</v>
      </c>
    </row>
    <row r="721" spans="2:8" s="42" customFormat="1" ht="15" x14ac:dyDescent="0.25">
      <c r="B721" s="599"/>
      <c r="C721" s="600"/>
      <c r="D721" s="45" t="s">
        <v>610</v>
      </c>
      <c r="E721" s="140" t="s">
        <v>17</v>
      </c>
      <c r="F721" s="167">
        <v>4.75</v>
      </c>
      <c r="G721" s="167">
        <v>4.7</v>
      </c>
      <c r="H721" s="191">
        <f t="shared" si="28"/>
        <v>22.324999999999999</v>
      </c>
    </row>
    <row r="722" spans="2:8" s="42" customFormat="1" ht="15.75" x14ac:dyDescent="0.25">
      <c r="B722" s="599"/>
      <c r="C722" s="600"/>
      <c r="D722" s="101" t="s">
        <v>22</v>
      </c>
      <c r="E722" s="140" t="s">
        <v>17</v>
      </c>
      <c r="F722" s="97" t="s">
        <v>27</v>
      </c>
      <c r="G722" s="97" t="s">
        <v>19</v>
      </c>
      <c r="H722" s="201">
        <f>H723</f>
        <v>31.85</v>
      </c>
    </row>
    <row r="723" spans="2:8" s="42" customFormat="1" ht="15" x14ac:dyDescent="0.25">
      <c r="B723" s="599"/>
      <c r="C723" s="600"/>
      <c r="D723" s="45" t="s">
        <v>611</v>
      </c>
      <c r="E723" s="140" t="s">
        <v>17</v>
      </c>
      <c r="F723" s="167">
        <v>4.9000000000000004</v>
      </c>
      <c r="G723" s="167">
        <v>6.5</v>
      </c>
      <c r="H723" s="191">
        <f t="shared" si="28"/>
        <v>31.85</v>
      </c>
    </row>
    <row r="724" spans="2:8" s="42" customFormat="1" ht="15.75" x14ac:dyDescent="0.25">
      <c r="B724" s="599"/>
      <c r="C724" s="600"/>
      <c r="D724" s="101" t="s">
        <v>29</v>
      </c>
      <c r="E724" s="140" t="s">
        <v>17</v>
      </c>
      <c r="F724" s="97" t="s">
        <v>27</v>
      </c>
      <c r="G724" s="97" t="s">
        <v>19</v>
      </c>
      <c r="H724" s="201">
        <f>H725</f>
        <v>29.61</v>
      </c>
    </row>
    <row r="725" spans="2:8" s="42" customFormat="1" ht="15" x14ac:dyDescent="0.25">
      <c r="B725" s="599"/>
      <c r="C725" s="600"/>
      <c r="D725" s="45" t="s">
        <v>612</v>
      </c>
      <c r="E725" s="140" t="s">
        <v>17</v>
      </c>
      <c r="F725" s="167">
        <v>4.7</v>
      </c>
      <c r="G725" s="167">
        <v>6.3</v>
      </c>
      <c r="H725" s="191">
        <f t="shared" si="28"/>
        <v>29.61</v>
      </c>
    </row>
    <row r="726" spans="2:8" s="42" customFormat="1" ht="15.75" x14ac:dyDescent="0.25">
      <c r="B726" s="599"/>
      <c r="C726" s="600"/>
      <c r="D726" s="101" t="s">
        <v>613</v>
      </c>
      <c r="E726" s="140" t="s">
        <v>17</v>
      </c>
      <c r="F726" s="97" t="s">
        <v>27</v>
      </c>
      <c r="G726" s="97" t="s">
        <v>19</v>
      </c>
      <c r="H726" s="201">
        <f>H727</f>
        <v>35.525000000000006</v>
      </c>
    </row>
    <row r="727" spans="2:8" s="42" customFormat="1" ht="15" x14ac:dyDescent="0.25">
      <c r="B727" s="599"/>
      <c r="C727" s="600"/>
      <c r="D727" s="40" t="s">
        <v>614</v>
      </c>
      <c r="E727" s="140" t="s">
        <v>17</v>
      </c>
      <c r="F727" s="167">
        <v>7.25</v>
      </c>
      <c r="G727" s="167">
        <v>4.9000000000000004</v>
      </c>
      <c r="H727" s="191">
        <f t="shared" si="28"/>
        <v>35.525000000000006</v>
      </c>
    </row>
    <row r="728" spans="2:8" s="42" customFormat="1" ht="15.75" x14ac:dyDescent="0.25">
      <c r="B728" s="599"/>
      <c r="C728" s="600"/>
      <c r="D728" s="101" t="s">
        <v>615</v>
      </c>
      <c r="E728" s="140" t="s">
        <v>17</v>
      </c>
      <c r="F728" s="97" t="s">
        <v>27</v>
      </c>
      <c r="G728" s="97" t="s">
        <v>19</v>
      </c>
      <c r="H728" s="201">
        <f>H729</f>
        <v>17.150000000000002</v>
      </c>
    </row>
    <row r="729" spans="2:8" s="42" customFormat="1" ht="15" x14ac:dyDescent="0.25">
      <c r="B729" s="599"/>
      <c r="C729" s="600"/>
      <c r="D729" s="40" t="s">
        <v>614</v>
      </c>
      <c r="E729" s="140" t="s">
        <v>17</v>
      </c>
      <c r="F729" s="167">
        <v>3.5</v>
      </c>
      <c r="G729" s="167">
        <v>4.9000000000000004</v>
      </c>
      <c r="H729" s="191">
        <f t="shared" si="28"/>
        <v>17.150000000000002</v>
      </c>
    </row>
    <row r="730" spans="2:8" s="42" customFormat="1" ht="15.75" x14ac:dyDescent="0.25">
      <c r="B730" s="599"/>
      <c r="C730" s="600"/>
      <c r="D730" s="101" t="s">
        <v>616</v>
      </c>
      <c r="E730" s="140" t="s">
        <v>17</v>
      </c>
      <c r="F730" s="97" t="s">
        <v>27</v>
      </c>
      <c r="G730" s="97" t="s">
        <v>19</v>
      </c>
      <c r="H730" s="201">
        <f>H731</f>
        <v>2.2000000000000002</v>
      </c>
    </row>
    <row r="731" spans="2:8" s="42" customFormat="1" ht="15" x14ac:dyDescent="0.25">
      <c r="B731" s="599"/>
      <c r="C731" s="600"/>
      <c r="D731" s="40" t="s">
        <v>617</v>
      </c>
      <c r="E731" s="140" t="s">
        <v>17</v>
      </c>
      <c r="F731" s="167">
        <v>2.2000000000000002</v>
      </c>
      <c r="G731" s="167">
        <v>1</v>
      </c>
      <c r="H731" s="191">
        <f>F731*G731</f>
        <v>2.2000000000000002</v>
      </c>
    </row>
    <row r="732" spans="2:8" s="42" customFormat="1" ht="15.75" x14ac:dyDescent="0.25">
      <c r="B732" s="599"/>
      <c r="C732" s="600"/>
      <c r="D732" s="101" t="s">
        <v>618</v>
      </c>
      <c r="E732" s="140" t="s">
        <v>17</v>
      </c>
      <c r="F732" s="97" t="s">
        <v>27</v>
      </c>
      <c r="G732" s="97" t="s">
        <v>19</v>
      </c>
      <c r="H732" s="201">
        <f>H733</f>
        <v>1.5</v>
      </c>
    </row>
    <row r="733" spans="2:8" s="42" customFormat="1" ht="15" x14ac:dyDescent="0.25">
      <c r="B733" s="599"/>
      <c r="C733" s="600"/>
      <c r="D733" s="40" t="s">
        <v>617</v>
      </c>
      <c r="E733" s="140" t="s">
        <v>17</v>
      </c>
      <c r="F733" s="167">
        <v>1.5</v>
      </c>
      <c r="G733" s="167">
        <v>1</v>
      </c>
      <c r="H733" s="191">
        <f>F733*G733</f>
        <v>1.5</v>
      </c>
    </row>
    <row r="734" spans="2:8" s="42" customFormat="1" ht="15.75" x14ac:dyDescent="0.25">
      <c r="B734" s="599"/>
      <c r="C734" s="600"/>
      <c r="D734" s="101" t="s">
        <v>573</v>
      </c>
      <c r="E734" s="140" t="s">
        <v>17</v>
      </c>
      <c r="F734" s="97" t="s">
        <v>27</v>
      </c>
      <c r="G734" s="97" t="s">
        <v>19</v>
      </c>
      <c r="H734" s="201">
        <f>H735</f>
        <v>32.5</v>
      </c>
    </row>
    <row r="735" spans="2:8" s="42" customFormat="1" ht="15" x14ac:dyDescent="0.25">
      <c r="B735" s="599"/>
      <c r="C735" s="600"/>
      <c r="D735" s="40" t="s">
        <v>619</v>
      </c>
      <c r="E735" s="140" t="s">
        <v>17</v>
      </c>
      <c r="F735" s="167">
        <f>1*2</f>
        <v>2</v>
      </c>
      <c r="G735" s="167">
        <f>3.25*5</f>
        <v>16.25</v>
      </c>
      <c r="H735" s="191">
        <f>F735*G735</f>
        <v>32.5</v>
      </c>
    </row>
    <row r="736" spans="2:8" s="42" customFormat="1" ht="15.75" x14ac:dyDescent="0.25">
      <c r="B736" s="599"/>
      <c r="C736" s="600"/>
      <c r="D736" s="101" t="s">
        <v>568</v>
      </c>
      <c r="E736" s="140" t="s">
        <v>17</v>
      </c>
      <c r="F736" s="97" t="s">
        <v>27</v>
      </c>
      <c r="G736" s="97" t="s">
        <v>19</v>
      </c>
      <c r="H736" s="201">
        <f>SUM(H737:H738)</f>
        <v>58.837499999999999</v>
      </c>
    </row>
    <row r="737" spans="2:8" s="42" customFormat="1" ht="15" x14ac:dyDescent="0.25">
      <c r="B737" s="599"/>
      <c r="C737" s="600"/>
      <c r="D737" s="40" t="s">
        <v>620</v>
      </c>
      <c r="E737" s="140" t="s">
        <v>17</v>
      </c>
      <c r="F737" s="167">
        <f>7.55+5.25</f>
        <v>12.8</v>
      </c>
      <c r="G737" s="167">
        <v>1.5</v>
      </c>
      <c r="H737" s="191">
        <f>F737*G737</f>
        <v>19.200000000000003</v>
      </c>
    </row>
    <row r="738" spans="2:8" s="42" customFormat="1" ht="15" x14ac:dyDescent="0.25">
      <c r="B738" s="599"/>
      <c r="C738" s="600"/>
      <c r="D738" s="40" t="s">
        <v>621</v>
      </c>
      <c r="E738" s="140" t="s">
        <v>17</v>
      </c>
      <c r="F738" s="167">
        <v>7.55</v>
      </c>
      <c r="G738" s="167">
        <v>5.25</v>
      </c>
      <c r="H738" s="191">
        <f>F738*G738</f>
        <v>39.637499999999996</v>
      </c>
    </row>
    <row r="739" spans="2:8" s="42" customFormat="1" ht="15.75" x14ac:dyDescent="0.25">
      <c r="B739" s="599"/>
      <c r="C739" s="600"/>
      <c r="D739" s="101" t="s">
        <v>353</v>
      </c>
      <c r="E739" s="140" t="s">
        <v>17</v>
      </c>
      <c r="F739" s="97" t="s">
        <v>27</v>
      </c>
      <c r="G739" s="97" t="s">
        <v>19</v>
      </c>
      <c r="H739" s="201">
        <f>SUM(H740:H741)</f>
        <v>16.25</v>
      </c>
    </row>
    <row r="740" spans="2:8" s="42" customFormat="1" ht="15" x14ac:dyDescent="0.25">
      <c r="B740" s="599"/>
      <c r="C740" s="600"/>
      <c r="D740" s="40" t="s">
        <v>620</v>
      </c>
      <c r="E740" s="140" t="s">
        <v>17</v>
      </c>
      <c r="F740" s="167">
        <f>2.2+3.5</f>
        <v>5.7</v>
      </c>
      <c r="G740" s="167">
        <v>1.5</v>
      </c>
      <c r="H740" s="191">
        <f>F740*G740</f>
        <v>8.5500000000000007</v>
      </c>
    </row>
    <row r="741" spans="2:8" s="42" customFormat="1" ht="15" x14ac:dyDescent="0.25">
      <c r="B741" s="599"/>
      <c r="C741" s="600"/>
      <c r="D741" s="40" t="s">
        <v>621</v>
      </c>
      <c r="E741" s="140" t="s">
        <v>17</v>
      </c>
      <c r="F741" s="167">
        <v>2.2000000000000002</v>
      </c>
      <c r="G741" s="167">
        <v>3.5</v>
      </c>
      <c r="H741" s="191">
        <f>F741*G741</f>
        <v>7.7000000000000011</v>
      </c>
    </row>
    <row r="742" spans="2:8" s="42" customFormat="1" ht="15.75" x14ac:dyDescent="0.25">
      <c r="B742" s="599"/>
      <c r="C742" s="600"/>
      <c r="D742" s="101" t="s">
        <v>601</v>
      </c>
      <c r="E742" s="140" t="s">
        <v>17</v>
      </c>
      <c r="F742" s="97" t="s">
        <v>27</v>
      </c>
      <c r="G742" s="97" t="s">
        <v>19</v>
      </c>
      <c r="H742" s="201">
        <f>SUM(H743:H744)</f>
        <v>8.48</v>
      </c>
    </row>
    <row r="743" spans="2:8" s="42" customFormat="1" ht="15" x14ac:dyDescent="0.25">
      <c r="B743" s="599"/>
      <c r="C743" s="600"/>
      <c r="D743" s="40" t="s">
        <v>622</v>
      </c>
      <c r="E743" s="140" t="s">
        <v>17</v>
      </c>
      <c r="F743" s="167">
        <f>2.2+1.4</f>
        <v>3.6</v>
      </c>
      <c r="G743" s="167">
        <v>1.5</v>
      </c>
      <c r="H743" s="191">
        <f>F743*G743</f>
        <v>5.4</v>
      </c>
    </row>
    <row r="744" spans="2:8" s="42" customFormat="1" ht="15" x14ac:dyDescent="0.25">
      <c r="B744" s="599"/>
      <c r="C744" s="600"/>
      <c r="D744" s="40" t="s">
        <v>621</v>
      </c>
      <c r="E744" s="140" t="s">
        <v>17</v>
      </c>
      <c r="F744" s="167">
        <v>2.2000000000000002</v>
      </c>
      <c r="G744" s="167">
        <v>1.4</v>
      </c>
      <c r="H744" s="191">
        <f>F744*G744</f>
        <v>3.08</v>
      </c>
    </row>
    <row r="745" spans="2:8" s="42" customFormat="1" ht="15.75" x14ac:dyDescent="0.25">
      <c r="B745" s="599"/>
      <c r="C745" s="600"/>
      <c r="D745" s="101" t="s">
        <v>603</v>
      </c>
      <c r="E745" s="140" t="s">
        <v>17</v>
      </c>
      <c r="F745" s="97" t="s">
        <v>27</v>
      </c>
      <c r="G745" s="97" t="s">
        <v>19</v>
      </c>
      <c r="H745" s="201">
        <f>SUM(H746:H747)</f>
        <v>8.48</v>
      </c>
    </row>
    <row r="746" spans="2:8" s="42" customFormat="1" ht="15" x14ac:dyDescent="0.25">
      <c r="B746" s="599"/>
      <c r="C746" s="600"/>
      <c r="D746" s="40" t="s">
        <v>622</v>
      </c>
      <c r="E746" s="140" t="s">
        <v>17</v>
      </c>
      <c r="F746" s="167">
        <f>2.2+1.4</f>
        <v>3.6</v>
      </c>
      <c r="G746" s="167">
        <v>1.5</v>
      </c>
      <c r="H746" s="191">
        <f>F746*G746</f>
        <v>5.4</v>
      </c>
    </row>
    <row r="747" spans="2:8" s="42" customFormat="1" ht="15" x14ac:dyDescent="0.25">
      <c r="B747" s="599"/>
      <c r="C747" s="600"/>
      <c r="D747" s="40" t="s">
        <v>621</v>
      </c>
      <c r="E747" s="140" t="s">
        <v>17</v>
      </c>
      <c r="F747" s="167">
        <v>2.2000000000000002</v>
      </c>
      <c r="G747" s="167">
        <v>1.4</v>
      </c>
      <c r="H747" s="191">
        <f>F747*G747</f>
        <v>3.08</v>
      </c>
    </row>
    <row r="748" spans="2:8" s="42" customFormat="1" ht="15.75" x14ac:dyDescent="0.25">
      <c r="B748" s="599"/>
      <c r="C748" s="600"/>
      <c r="D748" s="101" t="s">
        <v>342</v>
      </c>
      <c r="E748" s="140" t="s">
        <v>17</v>
      </c>
      <c r="F748" s="97" t="s">
        <v>27</v>
      </c>
      <c r="G748" s="97" t="s">
        <v>19</v>
      </c>
      <c r="H748" s="201">
        <f>SUM(H749:H750)</f>
        <v>23.479999999999997</v>
      </c>
    </row>
    <row r="749" spans="2:8" s="42" customFormat="1" ht="15" x14ac:dyDescent="0.25">
      <c r="B749" s="599"/>
      <c r="C749" s="600"/>
      <c r="D749" s="40" t="s">
        <v>622</v>
      </c>
      <c r="E749" s="140" t="s">
        <v>17</v>
      </c>
      <c r="F749" s="167">
        <f>2.65+4.7</f>
        <v>7.35</v>
      </c>
      <c r="G749" s="167">
        <v>1.5</v>
      </c>
      <c r="H749" s="191">
        <f>F749*G749</f>
        <v>11.024999999999999</v>
      </c>
    </row>
    <row r="750" spans="2:8" s="42" customFormat="1" ht="15" x14ac:dyDescent="0.25">
      <c r="B750" s="599"/>
      <c r="C750" s="600"/>
      <c r="D750" s="40" t="s">
        <v>621</v>
      </c>
      <c r="E750" s="140" t="s">
        <v>17</v>
      </c>
      <c r="F750" s="167">
        <v>2.65</v>
      </c>
      <c r="G750" s="167">
        <v>4.7</v>
      </c>
      <c r="H750" s="191">
        <f>F750*G750</f>
        <v>12.455</v>
      </c>
    </row>
    <row r="751" spans="2:8" s="42" customFormat="1" ht="15.75" x14ac:dyDescent="0.25">
      <c r="B751" s="599"/>
      <c r="C751" s="600"/>
      <c r="D751" s="101" t="s">
        <v>341</v>
      </c>
      <c r="E751" s="140" t="s">
        <v>17</v>
      </c>
      <c r="F751" s="97" t="s">
        <v>27</v>
      </c>
      <c r="G751" s="97" t="s">
        <v>19</v>
      </c>
      <c r="H751" s="201">
        <f>SUM(H752:H753)</f>
        <v>23.479999999999997</v>
      </c>
    </row>
    <row r="752" spans="2:8" s="42" customFormat="1" ht="15" x14ac:dyDescent="0.25">
      <c r="B752" s="599"/>
      <c r="C752" s="600"/>
      <c r="D752" s="40" t="s">
        <v>622</v>
      </c>
      <c r="E752" s="140" t="s">
        <v>17</v>
      </c>
      <c r="F752" s="167">
        <f>2.65+4.7</f>
        <v>7.35</v>
      </c>
      <c r="G752" s="167">
        <v>1.5</v>
      </c>
      <c r="H752" s="191">
        <f>F752*G752</f>
        <v>11.024999999999999</v>
      </c>
    </row>
    <row r="753" spans="2:8" s="42" customFormat="1" ht="15" x14ac:dyDescent="0.25">
      <c r="B753" s="599"/>
      <c r="C753" s="600"/>
      <c r="D753" s="40" t="s">
        <v>621</v>
      </c>
      <c r="E753" s="140" t="s">
        <v>17</v>
      </c>
      <c r="F753" s="167">
        <v>2.65</v>
      </c>
      <c r="G753" s="167">
        <v>4.7</v>
      </c>
      <c r="H753" s="191">
        <f>F753*G753</f>
        <v>12.455</v>
      </c>
    </row>
    <row r="754" spans="2:8" s="42" customFormat="1" ht="15.75" x14ac:dyDescent="0.25">
      <c r="B754" s="599"/>
      <c r="C754" s="600"/>
      <c r="D754" s="101" t="s">
        <v>347</v>
      </c>
      <c r="E754" s="140" t="s">
        <v>17</v>
      </c>
      <c r="F754" s="97" t="s">
        <v>27</v>
      </c>
      <c r="G754" s="97" t="s">
        <v>19</v>
      </c>
      <c r="H754" s="201">
        <f>SUM(H755:H756)</f>
        <v>7.8299999999999992</v>
      </c>
    </row>
    <row r="755" spans="2:8" s="42" customFormat="1" ht="15" x14ac:dyDescent="0.25">
      <c r="B755" s="599"/>
      <c r="C755" s="600"/>
      <c r="D755" s="40" t="s">
        <v>622</v>
      </c>
      <c r="E755" s="140" t="s">
        <v>17</v>
      </c>
      <c r="F755" s="167">
        <f>1.7+1.65</f>
        <v>3.3499999999999996</v>
      </c>
      <c r="G755" s="167">
        <v>1.5</v>
      </c>
      <c r="H755" s="191">
        <f>F755*G755</f>
        <v>5.0249999999999995</v>
      </c>
    </row>
    <row r="756" spans="2:8" s="42" customFormat="1" ht="15" x14ac:dyDescent="0.25">
      <c r="B756" s="599"/>
      <c r="C756" s="600"/>
      <c r="D756" s="40" t="s">
        <v>621</v>
      </c>
      <c r="E756" s="140" t="s">
        <v>17</v>
      </c>
      <c r="F756" s="167">
        <v>1.7</v>
      </c>
      <c r="G756" s="167">
        <v>1.65</v>
      </c>
      <c r="H756" s="191">
        <f>F756*G756</f>
        <v>2.8049999999999997</v>
      </c>
    </row>
    <row r="757" spans="2:8" s="42" customFormat="1" ht="15.75" x14ac:dyDescent="0.25">
      <c r="B757" s="599"/>
      <c r="C757" s="600"/>
      <c r="D757" s="101" t="s">
        <v>331</v>
      </c>
      <c r="E757" s="140" t="s">
        <v>17</v>
      </c>
      <c r="F757" s="97" t="s">
        <v>27</v>
      </c>
      <c r="G757" s="97" t="s">
        <v>19</v>
      </c>
      <c r="H757" s="201">
        <f>SUM(H758:H759)</f>
        <v>29.970000000000002</v>
      </c>
    </row>
    <row r="758" spans="2:8" s="42" customFormat="1" ht="15" x14ac:dyDescent="0.25">
      <c r="B758" s="599"/>
      <c r="C758" s="600"/>
      <c r="D758" s="40" t="s">
        <v>620</v>
      </c>
      <c r="E758" s="140" t="s">
        <v>17</v>
      </c>
      <c r="F758" s="167">
        <f>7.45+2.1</f>
        <v>9.5500000000000007</v>
      </c>
      <c r="G758" s="167">
        <v>1.5</v>
      </c>
      <c r="H758" s="191">
        <f>F758*G758</f>
        <v>14.325000000000001</v>
      </c>
    </row>
    <row r="759" spans="2:8" s="42" customFormat="1" ht="15" x14ac:dyDescent="0.25">
      <c r="B759" s="599"/>
      <c r="C759" s="600"/>
      <c r="D759" s="40" t="s">
        <v>621</v>
      </c>
      <c r="E759" s="140" t="s">
        <v>17</v>
      </c>
      <c r="F759" s="167">
        <v>7.45</v>
      </c>
      <c r="G759" s="167">
        <v>2.1</v>
      </c>
      <c r="H759" s="191">
        <f>F759*G759</f>
        <v>15.645000000000001</v>
      </c>
    </row>
    <row r="760" spans="2:8" s="42" customFormat="1" ht="15.75" x14ac:dyDescent="0.25">
      <c r="B760" s="598" t="s">
        <v>623</v>
      </c>
      <c r="C760" s="442">
        <v>120107</v>
      </c>
      <c r="D760" s="52" t="s">
        <v>624</v>
      </c>
      <c r="E760" s="99" t="s">
        <v>17</v>
      </c>
      <c r="F760" s="164" t="s">
        <v>27</v>
      </c>
      <c r="G760" s="164" t="s">
        <v>19</v>
      </c>
      <c r="H760" s="192">
        <f>H761+H763+H765+H767+H769+H771+H773+H787-H775+H777+H779+H781+H783+H785</f>
        <v>485.58749999999998</v>
      </c>
    </row>
    <row r="761" spans="2:8" s="42" customFormat="1" ht="15.75" x14ac:dyDescent="0.25">
      <c r="B761" s="652"/>
      <c r="C761" s="673"/>
      <c r="D761" s="101" t="s">
        <v>568</v>
      </c>
      <c r="E761" s="96" t="s">
        <v>17</v>
      </c>
      <c r="F761" s="97" t="s">
        <v>27</v>
      </c>
      <c r="G761" s="97" t="s">
        <v>19</v>
      </c>
      <c r="H761" s="201">
        <f>H762</f>
        <v>39.637499999999996</v>
      </c>
    </row>
    <row r="762" spans="2:8" s="42" customFormat="1" ht="15" x14ac:dyDescent="0.25">
      <c r="B762" s="654"/>
      <c r="C762" s="675"/>
      <c r="D762" s="40" t="s">
        <v>599</v>
      </c>
      <c r="E762" s="140" t="s">
        <v>17</v>
      </c>
      <c r="F762" s="167">
        <v>7.55</v>
      </c>
      <c r="G762" s="167">
        <v>5.25</v>
      </c>
      <c r="H762" s="191">
        <f>F762*G762</f>
        <v>39.637499999999996</v>
      </c>
    </row>
    <row r="763" spans="2:8" s="42" customFormat="1" ht="15.75" x14ac:dyDescent="0.25">
      <c r="B763" s="654"/>
      <c r="C763" s="675"/>
      <c r="D763" s="101" t="s">
        <v>353</v>
      </c>
      <c r="E763" s="96" t="s">
        <v>17</v>
      </c>
      <c r="F763" s="97" t="s">
        <v>27</v>
      </c>
      <c r="G763" s="97" t="s">
        <v>19</v>
      </c>
      <c r="H763" s="201">
        <f>H764</f>
        <v>7.7000000000000011</v>
      </c>
    </row>
    <row r="764" spans="2:8" s="42" customFormat="1" ht="15" x14ac:dyDescent="0.25">
      <c r="B764" s="654"/>
      <c r="C764" s="675"/>
      <c r="D764" s="40" t="s">
        <v>600</v>
      </c>
      <c r="E764" s="140" t="s">
        <v>17</v>
      </c>
      <c r="F764" s="167">
        <v>3.5</v>
      </c>
      <c r="G764" s="167">
        <v>2.2000000000000002</v>
      </c>
      <c r="H764" s="191">
        <f>F764*G764</f>
        <v>7.7000000000000011</v>
      </c>
    </row>
    <row r="765" spans="2:8" s="42" customFormat="1" ht="15.75" x14ac:dyDescent="0.25">
      <c r="B765" s="654"/>
      <c r="C765" s="675"/>
      <c r="D765" s="101" t="s">
        <v>601</v>
      </c>
      <c r="E765" s="96" t="s">
        <v>17</v>
      </c>
      <c r="F765" s="97" t="s">
        <v>27</v>
      </c>
      <c r="G765" s="97" t="s">
        <v>19</v>
      </c>
      <c r="H765" s="201">
        <f>H766</f>
        <v>3.08</v>
      </c>
    </row>
    <row r="766" spans="2:8" s="42" customFormat="1" ht="15" x14ac:dyDescent="0.25">
      <c r="B766" s="654"/>
      <c r="C766" s="675"/>
      <c r="D766" s="45" t="s">
        <v>602</v>
      </c>
      <c r="E766" s="140" t="s">
        <v>17</v>
      </c>
      <c r="F766" s="165">
        <v>2.2000000000000002</v>
      </c>
      <c r="G766" s="165">
        <v>1.4</v>
      </c>
      <c r="H766" s="191">
        <f>F766*G766</f>
        <v>3.08</v>
      </c>
    </row>
    <row r="767" spans="2:8" s="42" customFormat="1" ht="15.75" x14ac:dyDescent="0.25">
      <c r="B767" s="654"/>
      <c r="C767" s="675"/>
      <c r="D767" s="101" t="s">
        <v>603</v>
      </c>
      <c r="E767" s="96" t="s">
        <v>17</v>
      </c>
      <c r="F767" s="97" t="s">
        <v>27</v>
      </c>
      <c r="G767" s="97" t="s">
        <v>19</v>
      </c>
      <c r="H767" s="201">
        <f>H768</f>
        <v>3.08</v>
      </c>
    </row>
    <row r="768" spans="2:8" s="42" customFormat="1" ht="15" x14ac:dyDescent="0.25">
      <c r="B768" s="654"/>
      <c r="C768" s="675"/>
      <c r="D768" s="45" t="s">
        <v>604</v>
      </c>
      <c r="E768" s="140" t="s">
        <v>17</v>
      </c>
      <c r="F768" s="165">
        <v>2.2000000000000002</v>
      </c>
      <c r="G768" s="165">
        <v>1.4</v>
      </c>
      <c r="H768" s="191">
        <f>F768*G768</f>
        <v>3.08</v>
      </c>
    </row>
    <row r="769" spans="2:8" s="42" customFormat="1" ht="15.75" x14ac:dyDescent="0.25">
      <c r="B769" s="654"/>
      <c r="C769" s="675"/>
      <c r="D769" s="101" t="s">
        <v>572</v>
      </c>
      <c r="E769" s="96" t="s">
        <v>17</v>
      </c>
      <c r="F769" s="97" t="s">
        <v>27</v>
      </c>
      <c r="G769" s="97" t="s">
        <v>19</v>
      </c>
      <c r="H769" s="201">
        <f>H770</f>
        <v>2.4</v>
      </c>
    </row>
    <row r="770" spans="2:8" s="42" customFormat="1" ht="15" x14ac:dyDescent="0.25">
      <c r="B770" s="654"/>
      <c r="C770" s="675"/>
      <c r="D770" s="45" t="s">
        <v>605</v>
      </c>
      <c r="E770" s="140" t="s">
        <v>17</v>
      </c>
      <c r="F770" s="165">
        <v>1.2</v>
      </c>
      <c r="G770" s="165">
        <v>2</v>
      </c>
      <c r="H770" s="191">
        <f>F770*G770</f>
        <v>2.4</v>
      </c>
    </row>
    <row r="771" spans="2:8" s="42" customFormat="1" ht="15.75" x14ac:dyDescent="0.25">
      <c r="B771" s="654"/>
      <c r="C771" s="675"/>
      <c r="D771" s="101" t="s">
        <v>606</v>
      </c>
      <c r="E771" s="96" t="s">
        <v>17</v>
      </c>
      <c r="F771" s="97" t="s">
        <v>27</v>
      </c>
      <c r="G771" s="97" t="s">
        <v>19</v>
      </c>
      <c r="H771" s="201">
        <f>H772</f>
        <v>2.4</v>
      </c>
    </row>
    <row r="772" spans="2:8" s="42" customFormat="1" ht="15" x14ac:dyDescent="0.25">
      <c r="B772" s="654"/>
      <c r="C772" s="675"/>
      <c r="D772" s="45" t="s">
        <v>607</v>
      </c>
      <c r="E772" s="140" t="s">
        <v>17</v>
      </c>
      <c r="F772" s="165">
        <v>1.2</v>
      </c>
      <c r="G772" s="165">
        <v>2</v>
      </c>
      <c r="H772" s="191">
        <f>F772*G772</f>
        <v>2.4</v>
      </c>
    </row>
    <row r="773" spans="2:8" s="42" customFormat="1" ht="15.75" x14ac:dyDescent="0.25">
      <c r="B773" s="654"/>
      <c r="C773" s="675"/>
      <c r="D773" s="101" t="s">
        <v>331</v>
      </c>
      <c r="E773" s="96" t="s">
        <v>17</v>
      </c>
      <c r="F773" s="97" t="s">
        <v>27</v>
      </c>
      <c r="G773" s="97" t="s">
        <v>19</v>
      </c>
      <c r="H773" s="201">
        <f>H774</f>
        <v>10.625</v>
      </c>
    </row>
    <row r="774" spans="2:8" s="42" customFormat="1" ht="15" x14ac:dyDescent="0.25">
      <c r="B774" s="654"/>
      <c r="C774" s="675"/>
      <c r="D774" s="45" t="s">
        <v>608</v>
      </c>
      <c r="E774" s="140" t="s">
        <v>17</v>
      </c>
      <c r="F774" s="167">
        <v>4.25</v>
      </c>
      <c r="G774" s="167">
        <v>2.5</v>
      </c>
      <c r="H774" s="191">
        <f>F774*G774</f>
        <v>10.625</v>
      </c>
    </row>
    <row r="775" spans="2:8" s="42" customFormat="1" ht="15.75" x14ac:dyDescent="0.25">
      <c r="B775" s="654"/>
      <c r="C775" s="675"/>
      <c r="D775" s="101" t="s">
        <v>28</v>
      </c>
      <c r="E775" s="96" t="s">
        <v>17</v>
      </c>
      <c r="F775" s="97" t="s">
        <v>27</v>
      </c>
      <c r="G775" s="97" t="s">
        <v>19</v>
      </c>
      <c r="H775" s="201">
        <f>H776</f>
        <v>29.61</v>
      </c>
    </row>
    <row r="776" spans="2:8" s="42" customFormat="1" ht="15" x14ac:dyDescent="0.25">
      <c r="B776" s="654"/>
      <c r="C776" s="675"/>
      <c r="D776" s="45" t="s">
        <v>625</v>
      </c>
      <c r="E776" s="140" t="s">
        <v>17</v>
      </c>
      <c r="F776" s="129">
        <v>4.7</v>
      </c>
      <c r="G776" s="129">
        <v>6.3</v>
      </c>
      <c r="H776" s="191">
        <f>F776*G776</f>
        <v>29.61</v>
      </c>
    </row>
    <row r="777" spans="2:8" s="42" customFormat="1" ht="15.75" x14ac:dyDescent="0.25">
      <c r="B777" s="654"/>
      <c r="C777" s="675"/>
      <c r="D777" s="101" t="s">
        <v>21</v>
      </c>
      <c r="E777" s="96" t="s">
        <v>17</v>
      </c>
      <c r="F777" s="97" t="s">
        <v>27</v>
      </c>
      <c r="G777" s="97" t="s">
        <v>19</v>
      </c>
      <c r="H777" s="201">
        <f>H778</f>
        <v>22.324999999999999</v>
      </c>
    </row>
    <row r="778" spans="2:8" s="42" customFormat="1" ht="15" x14ac:dyDescent="0.25">
      <c r="B778" s="654"/>
      <c r="C778" s="675"/>
      <c r="D778" s="45" t="s">
        <v>626</v>
      </c>
      <c r="E778" s="140" t="s">
        <v>17</v>
      </c>
      <c r="F778" s="167">
        <v>4.75</v>
      </c>
      <c r="G778" s="167">
        <v>4.7</v>
      </c>
      <c r="H778" s="191">
        <f>F778*G778</f>
        <v>22.324999999999999</v>
      </c>
    </row>
    <row r="779" spans="2:8" s="42" customFormat="1" ht="15.75" x14ac:dyDescent="0.25">
      <c r="B779" s="654"/>
      <c r="C779" s="675"/>
      <c r="D779" s="101" t="s">
        <v>22</v>
      </c>
      <c r="E779" s="96" t="s">
        <v>17</v>
      </c>
      <c r="F779" s="97" t="s">
        <v>27</v>
      </c>
      <c r="G779" s="97" t="s">
        <v>19</v>
      </c>
      <c r="H779" s="201">
        <f>H780</f>
        <v>31.85</v>
      </c>
    </row>
    <row r="780" spans="2:8" s="42" customFormat="1" ht="15" x14ac:dyDescent="0.25">
      <c r="B780" s="654"/>
      <c r="C780" s="675"/>
      <c r="D780" s="45" t="s">
        <v>627</v>
      </c>
      <c r="E780" s="140" t="s">
        <v>17</v>
      </c>
      <c r="F780" s="167">
        <v>4.9000000000000004</v>
      </c>
      <c r="G780" s="167">
        <v>6.5</v>
      </c>
      <c r="H780" s="191">
        <f>F780*G780</f>
        <v>31.85</v>
      </c>
    </row>
    <row r="781" spans="2:8" s="42" customFormat="1" ht="15.75" x14ac:dyDescent="0.25">
      <c r="B781" s="654"/>
      <c r="C781" s="675"/>
      <c r="D781" s="101" t="s">
        <v>29</v>
      </c>
      <c r="E781" s="96" t="s">
        <v>17</v>
      </c>
      <c r="F781" s="97" t="s">
        <v>27</v>
      </c>
      <c r="G781" s="97" t="s">
        <v>19</v>
      </c>
      <c r="H781" s="201">
        <f>H782</f>
        <v>29.61</v>
      </c>
    </row>
    <row r="782" spans="2:8" s="42" customFormat="1" ht="15" x14ac:dyDescent="0.25">
      <c r="B782" s="654"/>
      <c r="C782" s="675"/>
      <c r="D782" s="45" t="s">
        <v>628</v>
      </c>
      <c r="E782" s="140" t="s">
        <v>17</v>
      </c>
      <c r="F782" s="167">
        <v>4.7</v>
      </c>
      <c r="G782" s="167">
        <v>6.3</v>
      </c>
      <c r="H782" s="191">
        <f>F782*G782</f>
        <v>29.61</v>
      </c>
    </row>
    <row r="783" spans="2:8" s="42" customFormat="1" ht="15.75" x14ac:dyDescent="0.25">
      <c r="B783" s="654"/>
      <c r="C783" s="675"/>
      <c r="D783" s="101" t="s">
        <v>613</v>
      </c>
      <c r="E783" s="96" t="s">
        <v>17</v>
      </c>
      <c r="F783" s="97" t="s">
        <v>27</v>
      </c>
      <c r="G783" s="97" t="s">
        <v>19</v>
      </c>
      <c r="H783" s="201">
        <f>H784</f>
        <v>35.525000000000006</v>
      </c>
    </row>
    <row r="784" spans="2:8" s="42" customFormat="1" ht="15" x14ac:dyDescent="0.25">
      <c r="B784" s="654"/>
      <c r="C784" s="675"/>
      <c r="D784" s="40" t="s">
        <v>629</v>
      </c>
      <c r="E784" s="140" t="s">
        <v>17</v>
      </c>
      <c r="F784" s="167">
        <v>7.25</v>
      </c>
      <c r="G784" s="167">
        <v>4.9000000000000004</v>
      </c>
      <c r="H784" s="191">
        <f>F784*G784</f>
        <v>35.525000000000006</v>
      </c>
    </row>
    <row r="785" spans="2:8" s="42" customFormat="1" ht="15.75" x14ac:dyDescent="0.25">
      <c r="B785" s="654"/>
      <c r="C785" s="675"/>
      <c r="D785" s="101" t="s">
        <v>630</v>
      </c>
      <c r="E785" s="96" t="s">
        <v>17</v>
      </c>
      <c r="F785" s="97" t="s">
        <v>27</v>
      </c>
      <c r="G785" s="97" t="s">
        <v>19</v>
      </c>
      <c r="H785" s="201">
        <f>H786</f>
        <v>17.150000000000002</v>
      </c>
    </row>
    <row r="786" spans="2:8" s="42" customFormat="1" ht="15" x14ac:dyDescent="0.25">
      <c r="B786" s="654"/>
      <c r="C786" s="675"/>
      <c r="D786" s="40" t="s">
        <v>629</v>
      </c>
      <c r="E786" s="140" t="s">
        <v>17</v>
      </c>
      <c r="F786" s="167">
        <v>3.5</v>
      </c>
      <c r="G786" s="167">
        <v>4.9000000000000004</v>
      </c>
      <c r="H786" s="191">
        <f>F786*G786</f>
        <v>17.150000000000002</v>
      </c>
    </row>
    <row r="787" spans="2:8" s="42" customFormat="1" ht="15.75" x14ac:dyDescent="0.25">
      <c r="B787" s="654"/>
      <c r="C787" s="675"/>
      <c r="D787" s="101" t="s">
        <v>631</v>
      </c>
      <c r="E787" s="96" t="s">
        <v>17</v>
      </c>
      <c r="F787" s="97" t="s">
        <v>27</v>
      </c>
      <c r="G787" s="97" t="s">
        <v>19</v>
      </c>
      <c r="H787" s="201">
        <f>SUM(H788:H798)</f>
        <v>309.815</v>
      </c>
    </row>
    <row r="788" spans="2:8" s="42" customFormat="1" ht="15" x14ac:dyDescent="0.25">
      <c r="B788" s="654"/>
      <c r="C788" s="675"/>
      <c r="D788" s="45" t="s">
        <v>156</v>
      </c>
      <c r="E788" s="140" t="s">
        <v>17</v>
      </c>
      <c r="F788" s="167">
        <v>6.3</v>
      </c>
      <c r="G788" s="167">
        <v>4.7</v>
      </c>
      <c r="H788" s="191">
        <f>F788*G788*2</f>
        <v>59.22</v>
      </c>
    </row>
    <row r="789" spans="2:8" s="42" customFormat="1" ht="15" x14ac:dyDescent="0.25">
      <c r="B789" s="654"/>
      <c r="C789" s="675"/>
      <c r="D789" s="45" t="s">
        <v>158</v>
      </c>
      <c r="E789" s="140" t="s">
        <v>17</v>
      </c>
      <c r="F789" s="167">
        <v>4.75</v>
      </c>
      <c r="G789" s="167">
        <v>4.7</v>
      </c>
      <c r="H789" s="191">
        <f t="shared" ref="H789:H799" si="29">F789*G789*2</f>
        <v>44.65</v>
      </c>
    </row>
    <row r="790" spans="2:8" s="42" customFormat="1" ht="15" x14ac:dyDescent="0.25">
      <c r="B790" s="654"/>
      <c r="C790" s="675"/>
      <c r="D790" s="45" t="s">
        <v>160</v>
      </c>
      <c r="E790" s="140" t="s">
        <v>17</v>
      </c>
      <c r="F790" s="167">
        <v>6.5</v>
      </c>
      <c r="G790" s="167">
        <v>4.9000000000000004</v>
      </c>
      <c r="H790" s="191">
        <f t="shared" si="29"/>
        <v>63.7</v>
      </c>
    </row>
    <row r="791" spans="2:8" s="42" customFormat="1" ht="15" x14ac:dyDescent="0.25">
      <c r="B791" s="654"/>
      <c r="C791" s="675"/>
      <c r="D791" s="45" t="s">
        <v>632</v>
      </c>
      <c r="E791" s="140" t="s">
        <v>17</v>
      </c>
      <c r="F791" s="167">
        <v>7.55</v>
      </c>
      <c r="G791" s="167">
        <v>5.25</v>
      </c>
      <c r="H791" s="191">
        <f t="shared" si="29"/>
        <v>79.274999999999991</v>
      </c>
    </row>
    <row r="792" spans="2:8" s="42" customFormat="1" ht="15" x14ac:dyDescent="0.25">
      <c r="B792" s="654"/>
      <c r="C792" s="675"/>
      <c r="D792" s="45" t="s">
        <v>633</v>
      </c>
      <c r="E792" s="140" t="s">
        <v>17</v>
      </c>
      <c r="F792" s="167">
        <v>2.2000000000000002</v>
      </c>
      <c r="G792" s="167">
        <v>3.5</v>
      </c>
      <c r="H792" s="191">
        <f t="shared" si="29"/>
        <v>15.400000000000002</v>
      </c>
    </row>
    <row r="793" spans="2:8" s="42" customFormat="1" ht="15" x14ac:dyDescent="0.25">
      <c r="B793" s="654"/>
      <c r="C793" s="675"/>
      <c r="D793" s="45" t="s">
        <v>634</v>
      </c>
      <c r="E793" s="140" t="s">
        <v>17</v>
      </c>
      <c r="F793" s="167">
        <v>2.2000000000000002</v>
      </c>
      <c r="G793" s="167">
        <v>1.4</v>
      </c>
      <c r="H793" s="191">
        <f t="shared" si="29"/>
        <v>6.16</v>
      </c>
    </row>
    <row r="794" spans="2:8" s="42" customFormat="1" ht="15" x14ac:dyDescent="0.25">
      <c r="B794" s="654"/>
      <c r="C794" s="675"/>
      <c r="D794" s="45" t="s">
        <v>635</v>
      </c>
      <c r="E794" s="140" t="s">
        <v>17</v>
      </c>
      <c r="F794" s="167">
        <v>2.2000000000000002</v>
      </c>
      <c r="G794" s="167">
        <v>1.4</v>
      </c>
      <c r="H794" s="191">
        <f t="shared" si="29"/>
        <v>6.16</v>
      </c>
    </row>
    <row r="795" spans="2:8" s="42" customFormat="1" ht="15" x14ac:dyDescent="0.25">
      <c r="B795" s="654"/>
      <c r="C795" s="675"/>
      <c r="D795" s="45" t="s">
        <v>636</v>
      </c>
      <c r="E795" s="140" t="s">
        <v>17</v>
      </c>
      <c r="F795" s="167">
        <v>1.2</v>
      </c>
      <c r="G795" s="167">
        <v>2</v>
      </c>
      <c r="H795" s="191">
        <f t="shared" si="29"/>
        <v>4.8</v>
      </c>
    </row>
    <row r="796" spans="2:8" s="42" customFormat="1" ht="15" x14ac:dyDescent="0.25">
      <c r="B796" s="654"/>
      <c r="C796" s="675"/>
      <c r="D796" s="45" t="s">
        <v>637</v>
      </c>
      <c r="E796" s="140" t="s">
        <v>17</v>
      </c>
      <c r="F796" s="167">
        <v>1.2</v>
      </c>
      <c r="G796" s="167">
        <v>2</v>
      </c>
      <c r="H796" s="191">
        <f t="shared" si="29"/>
        <v>4.8</v>
      </c>
    </row>
    <row r="797" spans="2:8" s="42" customFormat="1" ht="15" x14ac:dyDescent="0.25">
      <c r="B797" s="654"/>
      <c r="C797" s="675"/>
      <c r="D797" s="45" t="s">
        <v>638</v>
      </c>
      <c r="E797" s="140" t="s">
        <v>17</v>
      </c>
      <c r="F797" s="167">
        <v>4.25</v>
      </c>
      <c r="G797" s="167">
        <v>2.5</v>
      </c>
      <c r="H797" s="191">
        <f t="shared" si="29"/>
        <v>21.25</v>
      </c>
    </row>
    <row r="798" spans="2:8" s="42" customFormat="1" ht="15" x14ac:dyDescent="0.25">
      <c r="B798" s="654"/>
      <c r="C798" s="655"/>
      <c r="D798" s="348" t="s">
        <v>639</v>
      </c>
      <c r="E798" s="140" t="s">
        <v>17</v>
      </c>
      <c r="F798" s="167">
        <v>2.2000000000000002</v>
      </c>
      <c r="G798" s="167">
        <v>1</v>
      </c>
      <c r="H798" s="191">
        <f t="shared" si="29"/>
        <v>4.4000000000000004</v>
      </c>
    </row>
    <row r="799" spans="2:8" s="42" customFormat="1" ht="15" x14ac:dyDescent="0.25">
      <c r="B799" s="603"/>
      <c r="C799" s="612"/>
      <c r="D799" s="45" t="s">
        <v>640</v>
      </c>
      <c r="E799" s="140" t="s">
        <v>17</v>
      </c>
      <c r="F799" s="167">
        <v>5</v>
      </c>
      <c r="G799" s="167">
        <v>3</v>
      </c>
      <c r="H799" s="191">
        <f t="shared" si="29"/>
        <v>30</v>
      </c>
    </row>
    <row r="800" spans="2:8" s="42" customFormat="1" ht="31.5" x14ac:dyDescent="0.25">
      <c r="B800" s="598" t="s">
        <v>641</v>
      </c>
      <c r="C800" s="442" t="s">
        <v>642</v>
      </c>
      <c r="D800" s="52" t="s">
        <v>643</v>
      </c>
      <c r="E800" s="99" t="s">
        <v>17</v>
      </c>
      <c r="F800" s="164" t="s">
        <v>27</v>
      </c>
      <c r="G800" s="164" t="s">
        <v>40</v>
      </c>
      <c r="H800" s="192">
        <f>SUM(H801:H818)</f>
        <v>1558.83</v>
      </c>
    </row>
    <row r="801" spans="2:8" s="42" customFormat="1" ht="15" x14ac:dyDescent="0.25">
      <c r="B801" s="613"/>
      <c r="C801" s="614"/>
      <c r="D801" s="45" t="s">
        <v>568</v>
      </c>
      <c r="E801" s="44" t="s">
        <v>17</v>
      </c>
      <c r="F801" s="43">
        <f>7.55*2+5.25</f>
        <v>20.350000000000001</v>
      </c>
      <c r="G801" s="167">
        <v>3</v>
      </c>
      <c r="H801" s="191">
        <f>G801*F801*2</f>
        <v>122.10000000000001</v>
      </c>
    </row>
    <row r="802" spans="2:8" s="42" customFormat="1" ht="15" x14ac:dyDescent="0.25">
      <c r="B802" s="599"/>
      <c r="C802" s="600"/>
      <c r="D802" s="45" t="s">
        <v>353</v>
      </c>
      <c r="E802" s="44" t="s">
        <v>17</v>
      </c>
      <c r="F802" s="43">
        <f>2.2*2+3.5</f>
        <v>7.9</v>
      </c>
      <c r="G802" s="167">
        <v>3</v>
      </c>
      <c r="H802" s="191">
        <f t="shared" ref="H802:H816" si="30">G802*F802*2</f>
        <v>47.400000000000006</v>
      </c>
    </row>
    <row r="803" spans="2:8" s="42" customFormat="1" ht="15" x14ac:dyDescent="0.25">
      <c r="B803" s="599"/>
      <c r="C803" s="600"/>
      <c r="D803" s="45" t="s">
        <v>569</v>
      </c>
      <c r="E803" s="44" t="s">
        <v>17</v>
      </c>
      <c r="F803" s="43">
        <f>2.2*2+1.4*2</f>
        <v>7.2</v>
      </c>
      <c r="G803" s="167">
        <v>3</v>
      </c>
      <c r="H803" s="191">
        <f t="shared" si="30"/>
        <v>43.2</v>
      </c>
    </row>
    <row r="804" spans="2:8" s="42" customFormat="1" ht="15" x14ac:dyDescent="0.25">
      <c r="B804" s="599"/>
      <c r="C804" s="600"/>
      <c r="D804" s="45" t="s">
        <v>570</v>
      </c>
      <c r="E804" s="44" t="s">
        <v>17</v>
      </c>
      <c r="F804" s="43">
        <f>2.2*2+1.4*2</f>
        <v>7.2</v>
      </c>
      <c r="G804" s="167">
        <v>3</v>
      </c>
      <c r="H804" s="191">
        <f t="shared" si="30"/>
        <v>43.2</v>
      </c>
    </row>
    <row r="805" spans="2:8" s="42" customFormat="1" ht="15" x14ac:dyDescent="0.25">
      <c r="B805" s="599"/>
      <c r="C805" s="600"/>
      <c r="D805" s="45" t="s">
        <v>331</v>
      </c>
      <c r="E805" s="44" t="s">
        <v>17</v>
      </c>
      <c r="F805" s="43">
        <v>7.45</v>
      </c>
      <c r="G805" s="167">
        <v>3</v>
      </c>
      <c r="H805" s="191">
        <f t="shared" si="30"/>
        <v>44.7</v>
      </c>
    </row>
    <row r="806" spans="2:8" s="42" customFormat="1" ht="15" x14ac:dyDescent="0.25">
      <c r="B806" s="599"/>
      <c r="C806" s="600"/>
      <c r="D806" s="41" t="s">
        <v>571</v>
      </c>
      <c r="E806" s="44" t="s">
        <v>17</v>
      </c>
      <c r="F806" s="43">
        <f>4.25*2+2.5*2</f>
        <v>13.5</v>
      </c>
      <c r="G806" s="167">
        <v>3</v>
      </c>
      <c r="H806" s="191">
        <f t="shared" si="30"/>
        <v>81</v>
      </c>
    </row>
    <row r="807" spans="2:8" s="42" customFormat="1" ht="15" x14ac:dyDescent="0.25">
      <c r="B807" s="599"/>
      <c r="C807" s="600"/>
      <c r="D807" s="40" t="s">
        <v>572</v>
      </c>
      <c r="E807" s="44" t="s">
        <v>17</v>
      </c>
      <c r="F807" s="43">
        <f>2*2+1.2*2</f>
        <v>6.4</v>
      </c>
      <c r="G807" s="167">
        <v>3</v>
      </c>
      <c r="H807" s="191">
        <f t="shared" si="30"/>
        <v>38.400000000000006</v>
      </c>
    </row>
    <row r="808" spans="2:8" s="42" customFormat="1" ht="15" x14ac:dyDescent="0.25">
      <c r="B808" s="599"/>
      <c r="C808" s="600"/>
      <c r="D808" s="45" t="s">
        <v>28</v>
      </c>
      <c r="E808" s="44" t="s">
        <v>17</v>
      </c>
      <c r="F808" s="43">
        <f>6.3*2+4.7*2</f>
        <v>22</v>
      </c>
      <c r="G808" s="167">
        <v>3</v>
      </c>
      <c r="H808" s="191">
        <f t="shared" si="30"/>
        <v>132</v>
      </c>
    </row>
    <row r="809" spans="2:8" s="42" customFormat="1" ht="15" x14ac:dyDescent="0.25">
      <c r="B809" s="599"/>
      <c r="C809" s="600"/>
      <c r="D809" s="45" t="s">
        <v>21</v>
      </c>
      <c r="E809" s="44" t="s">
        <v>17</v>
      </c>
      <c r="F809" s="43">
        <f>4.75*2+4.7</f>
        <v>14.2</v>
      </c>
      <c r="G809" s="167">
        <v>3</v>
      </c>
      <c r="H809" s="191">
        <f t="shared" si="30"/>
        <v>85.199999999999989</v>
      </c>
    </row>
    <row r="810" spans="2:8" s="42" customFormat="1" ht="15" x14ac:dyDescent="0.25">
      <c r="B810" s="599"/>
      <c r="C810" s="600"/>
      <c r="D810" s="45" t="s">
        <v>22</v>
      </c>
      <c r="E810" s="44" t="s">
        <v>17</v>
      </c>
      <c r="F810" s="43">
        <f>6.5*2+4.9*2</f>
        <v>22.8</v>
      </c>
      <c r="G810" s="167">
        <v>3</v>
      </c>
      <c r="H810" s="191">
        <f t="shared" si="30"/>
        <v>136.80000000000001</v>
      </c>
    </row>
    <row r="811" spans="2:8" s="42" customFormat="1" ht="15" x14ac:dyDescent="0.25">
      <c r="B811" s="599"/>
      <c r="C811" s="600"/>
      <c r="D811" s="45" t="s">
        <v>29</v>
      </c>
      <c r="E811" s="44" t="s">
        <v>17</v>
      </c>
      <c r="F811" s="43">
        <f>7.25*2+4.9</f>
        <v>19.399999999999999</v>
      </c>
      <c r="G811" s="167">
        <v>3</v>
      </c>
      <c r="H811" s="191">
        <f t="shared" si="30"/>
        <v>116.39999999999999</v>
      </c>
    </row>
    <row r="812" spans="2:8" s="42" customFormat="1" ht="15" x14ac:dyDescent="0.25">
      <c r="B812" s="599"/>
      <c r="C812" s="600"/>
      <c r="D812" s="45" t="s">
        <v>613</v>
      </c>
      <c r="E812" s="44" t="s">
        <v>17</v>
      </c>
      <c r="F812" s="43">
        <f>7.25*2+4.9</f>
        <v>19.399999999999999</v>
      </c>
      <c r="G812" s="167">
        <v>3</v>
      </c>
      <c r="H812" s="191">
        <f t="shared" si="30"/>
        <v>116.39999999999999</v>
      </c>
    </row>
    <row r="813" spans="2:8" s="42" customFormat="1" ht="15" x14ac:dyDescent="0.2">
      <c r="B813" s="599"/>
      <c r="C813" s="600"/>
      <c r="D813" s="365" t="s">
        <v>644</v>
      </c>
      <c r="E813" s="44" t="s">
        <v>17</v>
      </c>
      <c r="F813" s="43">
        <f>3.5*2+4.9</f>
        <v>11.9</v>
      </c>
      <c r="G813" s="167">
        <v>3</v>
      </c>
      <c r="H813" s="191">
        <f t="shared" si="30"/>
        <v>71.400000000000006</v>
      </c>
    </row>
    <row r="814" spans="2:8" s="42" customFormat="1" ht="15" x14ac:dyDescent="0.25">
      <c r="B814" s="599"/>
      <c r="C814" s="600"/>
      <c r="D814" s="45" t="s">
        <v>573</v>
      </c>
      <c r="E814" s="44" t="s">
        <v>17</v>
      </c>
      <c r="F814" s="43">
        <f>3.25*1*5</f>
        <v>16.25</v>
      </c>
      <c r="G814" s="167">
        <v>3</v>
      </c>
      <c r="H814" s="191">
        <f t="shared" si="30"/>
        <v>97.5</v>
      </c>
    </row>
    <row r="815" spans="2:8" s="42" customFormat="1" ht="15" x14ac:dyDescent="0.25">
      <c r="B815" s="599"/>
      <c r="C815" s="600"/>
      <c r="D815" s="45" t="s">
        <v>645</v>
      </c>
      <c r="E815" s="44" t="s">
        <v>17</v>
      </c>
      <c r="F815" s="43">
        <f>1.35*50</f>
        <v>67.5</v>
      </c>
      <c r="G815" s="167">
        <v>3</v>
      </c>
      <c r="H815" s="191">
        <f>G815*F815*2</f>
        <v>405</v>
      </c>
    </row>
    <row r="816" spans="2:8" s="42" customFormat="1" ht="15" x14ac:dyDescent="0.25">
      <c r="B816" s="599"/>
      <c r="C816" s="600"/>
      <c r="D816" s="45" t="s">
        <v>575</v>
      </c>
      <c r="E816" s="44" t="s">
        <v>17</v>
      </c>
      <c r="F816" s="43">
        <f>1.5*2+2</f>
        <v>5</v>
      </c>
      <c r="G816" s="167">
        <v>3</v>
      </c>
      <c r="H816" s="191">
        <f t="shared" si="30"/>
        <v>30</v>
      </c>
    </row>
    <row r="817" spans="2:8" s="42" customFormat="1" ht="15" x14ac:dyDescent="0.25">
      <c r="B817" s="599"/>
      <c r="C817" s="600"/>
      <c r="D817" s="45" t="s">
        <v>646</v>
      </c>
      <c r="E817" s="44" t="s">
        <v>17</v>
      </c>
      <c r="F817" s="16">
        <v>6.5</v>
      </c>
      <c r="G817" s="167">
        <v>2.1</v>
      </c>
      <c r="H817" s="191">
        <f>-F817*G817</f>
        <v>-13.65</v>
      </c>
    </row>
    <row r="818" spans="2:8" s="42" customFormat="1" ht="15" x14ac:dyDescent="0.25">
      <c r="B818" s="599"/>
      <c r="C818" s="600"/>
      <c r="D818" s="45" t="s">
        <v>647</v>
      </c>
      <c r="E818" s="44" t="s">
        <v>17</v>
      </c>
      <c r="F818" s="43">
        <v>18.2</v>
      </c>
      <c r="G818" s="167">
        <v>2.1</v>
      </c>
      <c r="H818" s="191">
        <f>-F818*G818</f>
        <v>-38.22</v>
      </c>
    </row>
    <row r="819" spans="2:8" s="42" customFormat="1" ht="15.75" x14ac:dyDescent="0.25">
      <c r="B819" s="740" t="s">
        <v>648</v>
      </c>
      <c r="C819" s="728"/>
      <c r="D819" s="741"/>
      <c r="E819" s="741"/>
      <c r="F819" s="741"/>
      <c r="G819" s="741"/>
      <c r="H819" s="742"/>
    </row>
    <row r="820" spans="2:8" s="42" customFormat="1" ht="15.75" x14ac:dyDescent="0.25">
      <c r="B820" s="610">
        <v>11</v>
      </c>
      <c r="C820" s="430">
        <v>140000</v>
      </c>
      <c r="D820" s="720" t="s">
        <v>649</v>
      </c>
      <c r="E820" s="681"/>
      <c r="F820" s="681"/>
      <c r="G820" s="721"/>
      <c r="H820" s="195" t="s">
        <v>14</v>
      </c>
    </row>
    <row r="821" spans="2:8" s="42" customFormat="1" ht="15.75" x14ac:dyDescent="0.25">
      <c r="B821" s="598" t="s">
        <v>650</v>
      </c>
      <c r="C821" s="442">
        <v>140101</v>
      </c>
      <c r="D821" s="52" t="s">
        <v>651</v>
      </c>
      <c r="E821" s="53" t="s">
        <v>17</v>
      </c>
      <c r="F821" s="164" t="s">
        <v>27</v>
      </c>
      <c r="G821" s="164" t="s">
        <v>19</v>
      </c>
      <c r="H821" s="192">
        <f>SUM(H822:H824)</f>
        <v>80.04249999999999</v>
      </c>
    </row>
    <row r="822" spans="2:8" s="42" customFormat="1" ht="15" x14ac:dyDescent="0.25">
      <c r="B822" s="826"/>
      <c r="C822" s="673"/>
      <c r="D822" s="40" t="s">
        <v>652</v>
      </c>
      <c r="E822" s="140" t="s">
        <v>17</v>
      </c>
      <c r="F822" s="165">
        <f>16.95</f>
        <v>16.95</v>
      </c>
      <c r="G822" s="165">
        <v>1.8</v>
      </c>
      <c r="H822" s="140">
        <f>F822*G822</f>
        <v>30.509999999999998</v>
      </c>
    </row>
    <row r="823" spans="2:8" s="42" customFormat="1" ht="15" x14ac:dyDescent="0.25">
      <c r="B823" s="827"/>
      <c r="C823" s="675"/>
      <c r="D823" s="40" t="s">
        <v>653</v>
      </c>
      <c r="E823" s="140" t="s">
        <v>17</v>
      </c>
      <c r="F823" s="165">
        <v>17.899999999999999</v>
      </c>
      <c r="G823" s="165">
        <v>1.85</v>
      </c>
      <c r="H823" s="43">
        <f>F823*G823</f>
        <v>33.115000000000002</v>
      </c>
    </row>
    <row r="824" spans="2:8" s="42" customFormat="1" ht="15" x14ac:dyDescent="0.25">
      <c r="B824" s="828"/>
      <c r="C824" s="674"/>
      <c r="D824" s="40" t="s">
        <v>654</v>
      </c>
      <c r="E824" s="140" t="s">
        <v>17</v>
      </c>
      <c r="F824" s="165">
        <v>9.9499999999999993</v>
      </c>
      <c r="G824" s="165">
        <v>1.65</v>
      </c>
      <c r="H824" s="43">
        <f>F824*G824</f>
        <v>16.417499999999997</v>
      </c>
    </row>
    <row r="825" spans="2:8" s="42" customFormat="1" ht="15.75" x14ac:dyDescent="0.25">
      <c r="B825" s="598" t="s">
        <v>655</v>
      </c>
      <c r="C825" s="442">
        <v>140201</v>
      </c>
      <c r="D825" s="52" t="s">
        <v>656</v>
      </c>
      <c r="E825" s="53" t="s">
        <v>17</v>
      </c>
      <c r="F825" s="164" t="s">
        <v>27</v>
      </c>
      <c r="G825" s="164" t="s">
        <v>19</v>
      </c>
      <c r="H825" s="422">
        <f>SUM(H826:H828)</f>
        <v>232.36250000000001</v>
      </c>
    </row>
    <row r="826" spans="2:8" s="42" customFormat="1" ht="15" x14ac:dyDescent="0.25">
      <c r="B826" s="652"/>
      <c r="C826" s="673"/>
      <c r="D826" s="40" t="s">
        <v>657</v>
      </c>
      <c r="E826" s="140" t="s">
        <v>17</v>
      </c>
      <c r="F826" s="165">
        <v>9.65</v>
      </c>
      <c r="G826" s="165">
        <v>11.45</v>
      </c>
      <c r="H826" s="191">
        <f>F826*G826</f>
        <v>110.49249999999999</v>
      </c>
    </row>
    <row r="827" spans="2:8" s="42" customFormat="1" ht="15" x14ac:dyDescent="0.25">
      <c r="B827" s="654"/>
      <c r="C827" s="675"/>
      <c r="D827" s="40" t="s">
        <v>658</v>
      </c>
      <c r="E827" s="140" t="s">
        <v>17</v>
      </c>
      <c r="F827" s="165">
        <v>11.2</v>
      </c>
      <c r="G827" s="165">
        <v>4.8</v>
      </c>
      <c r="H827" s="191">
        <f>F827*G827</f>
        <v>53.76</v>
      </c>
    </row>
    <row r="828" spans="2:8" s="42" customFormat="1" ht="15" x14ac:dyDescent="0.25">
      <c r="B828" s="656"/>
      <c r="C828" s="674"/>
      <c r="D828" s="40" t="s">
        <v>659</v>
      </c>
      <c r="E828" s="140" t="s">
        <v>17</v>
      </c>
      <c r="F828" s="165">
        <v>13.9</v>
      </c>
      <c r="G828" s="165">
        <v>4.9000000000000004</v>
      </c>
      <c r="H828" s="191">
        <f>F828*G828</f>
        <v>68.110000000000014</v>
      </c>
    </row>
    <row r="829" spans="2:8" s="42" customFormat="1" ht="47.25" x14ac:dyDescent="0.25">
      <c r="B829" s="598" t="s">
        <v>660</v>
      </c>
      <c r="C829" s="442" t="s">
        <v>661</v>
      </c>
      <c r="D829" s="52" t="s">
        <v>662</v>
      </c>
      <c r="E829" s="53" t="s">
        <v>17</v>
      </c>
      <c r="F829" s="164" t="s">
        <v>27</v>
      </c>
      <c r="G829" s="164" t="s">
        <v>19</v>
      </c>
      <c r="H829" s="192">
        <f>SUM(H830:H832)</f>
        <v>232.36250000000001</v>
      </c>
    </row>
    <row r="830" spans="2:8" s="42" customFormat="1" ht="15" x14ac:dyDescent="0.25">
      <c r="B830" s="751"/>
      <c r="C830" s="752"/>
      <c r="D830" s="40" t="s">
        <v>657</v>
      </c>
      <c r="E830" s="140" t="s">
        <v>17</v>
      </c>
      <c r="F830" s="165">
        <v>9.65</v>
      </c>
      <c r="G830" s="165">
        <v>11.45</v>
      </c>
      <c r="H830" s="191">
        <f>G830*F830</f>
        <v>110.49249999999999</v>
      </c>
    </row>
    <row r="831" spans="2:8" s="42" customFormat="1" ht="15" x14ac:dyDescent="0.25">
      <c r="B831" s="753"/>
      <c r="C831" s="754"/>
      <c r="D831" s="40" t="s">
        <v>658</v>
      </c>
      <c r="E831" s="140" t="s">
        <v>17</v>
      </c>
      <c r="F831" s="165">
        <v>11.2</v>
      </c>
      <c r="G831" s="165">
        <v>4.8</v>
      </c>
      <c r="H831" s="191">
        <f>G831*F831</f>
        <v>53.76</v>
      </c>
    </row>
    <row r="832" spans="2:8" s="42" customFormat="1" ht="15" x14ac:dyDescent="0.25">
      <c r="B832" s="753"/>
      <c r="C832" s="754"/>
      <c r="D832" s="40" t="s">
        <v>659</v>
      </c>
      <c r="E832" s="140" t="s">
        <v>17</v>
      </c>
      <c r="F832" s="165">
        <v>13.9</v>
      </c>
      <c r="G832" s="165">
        <v>4.9000000000000004</v>
      </c>
      <c r="H832" s="191">
        <f>G832*F832</f>
        <v>68.110000000000014</v>
      </c>
    </row>
    <row r="833" spans="2:8" s="42" customFormat="1" ht="15.75" x14ac:dyDescent="0.25">
      <c r="B833" s="740" t="s">
        <v>663</v>
      </c>
      <c r="C833" s="728"/>
      <c r="D833" s="741"/>
      <c r="E833" s="741"/>
      <c r="F833" s="741"/>
      <c r="G833" s="741"/>
      <c r="H833" s="742"/>
    </row>
    <row r="834" spans="2:8" s="42" customFormat="1" ht="15.75" x14ac:dyDescent="0.25">
      <c r="B834" s="610">
        <v>12</v>
      </c>
      <c r="C834" s="430">
        <v>160000</v>
      </c>
      <c r="D834" s="720" t="s">
        <v>664</v>
      </c>
      <c r="E834" s="681"/>
      <c r="F834" s="681"/>
      <c r="G834" s="721"/>
      <c r="H834" s="195" t="s">
        <v>14</v>
      </c>
    </row>
    <row r="835" spans="2:8" s="42" customFormat="1" ht="15.75" x14ac:dyDescent="0.25">
      <c r="B835" s="598" t="s">
        <v>665</v>
      </c>
      <c r="C835" s="442">
        <v>160401</v>
      </c>
      <c r="D835" s="52" t="s">
        <v>666</v>
      </c>
      <c r="E835" s="53" t="s">
        <v>17</v>
      </c>
      <c r="F835" s="164" t="s">
        <v>27</v>
      </c>
      <c r="G835" s="164" t="s">
        <v>19</v>
      </c>
      <c r="H835" s="192">
        <f>SUM(H836:H838)</f>
        <v>80.04249999999999</v>
      </c>
    </row>
    <row r="836" spans="2:8" s="42" customFormat="1" ht="15.75" customHeight="1" x14ac:dyDescent="0.25">
      <c r="B836" s="658"/>
      <c r="C836" s="693"/>
      <c r="D836" s="40" t="s">
        <v>652</v>
      </c>
      <c r="E836" s="140" t="s">
        <v>17</v>
      </c>
      <c r="F836" s="165">
        <f>16.95</f>
        <v>16.95</v>
      </c>
      <c r="G836" s="165">
        <v>1.8</v>
      </c>
      <c r="H836" s="140">
        <f>F836*G836</f>
        <v>30.509999999999998</v>
      </c>
    </row>
    <row r="837" spans="2:8" s="42" customFormat="1" ht="15.75" customHeight="1" x14ac:dyDescent="0.25">
      <c r="B837" s="694"/>
      <c r="C837" s="695"/>
      <c r="D837" s="40" t="s">
        <v>653</v>
      </c>
      <c r="E837" s="140" t="s">
        <v>17</v>
      </c>
      <c r="F837" s="165">
        <v>17.899999999999999</v>
      </c>
      <c r="G837" s="165">
        <v>1.85</v>
      </c>
      <c r="H837" s="43">
        <f>F837*G837</f>
        <v>33.115000000000002</v>
      </c>
    </row>
    <row r="838" spans="2:8" s="42" customFormat="1" ht="15.75" customHeight="1" x14ac:dyDescent="0.25">
      <c r="B838" s="660"/>
      <c r="C838" s="696"/>
      <c r="D838" s="40" t="s">
        <v>654</v>
      </c>
      <c r="E838" s="140" t="s">
        <v>17</v>
      </c>
      <c r="F838" s="165">
        <v>9.9499999999999993</v>
      </c>
      <c r="G838" s="165">
        <v>1.65</v>
      </c>
      <c r="H838" s="43">
        <f>F838*G838</f>
        <v>16.417499999999997</v>
      </c>
    </row>
    <row r="839" spans="2:8" s="42" customFormat="1" ht="15.75" x14ac:dyDescent="0.25">
      <c r="B839" s="598" t="s">
        <v>667</v>
      </c>
      <c r="C839" s="442">
        <v>160501</v>
      </c>
      <c r="D839" s="52" t="s">
        <v>668</v>
      </c>
      <c r="E839" s="53" t="s">
        <v>17</v>
      </c>
      <c r="F839" s="164" t="s">
        <v>27</v>
      </c>
      <c r="G839" s="164" t="s">
        <v>19</v>
      </c>
      <c r="H839" s="192">
        <f>SUM(H840:H842)</f>
        <v>232.36250000000001</v>
      </c>
    </row>
    <row r="840" spans="2:8" s="42" customFormat="1" ht="15" x14ac:dyDescent="0.25">
      <c r="B840" s="652"/>
      <c r="C840" s="673"/>
      <c r="D840" s="40" t="s">
        <v>657</v>
      </c>
      <c r="E840" s="140" t="s">
        <v>17</v>
      </c>
      <c r="F840" s="165">
        <v>9.65</v>
      </c>
      <c r="G840" s="165">
        <v>11.45</v>
      </c>
      <c r="H840" s="191">
        <f>G840*F840</f>
        <v>110.49249999999999</v>
      </c>
    </row>
    <row r="841" spans="2:8" s="42" customFormat="1" ht="15" x14ac:dyDescent="0.25">
      <c r="B841" s="654"/>
      <c r="C841" s="675"/>
      <c r="D841" s="40" t="s">
        <v>658</v>
      </c>
      <c r="E841" s="140" t="s">
        <v>17</v>
      </c>
      <c r="F841" s="165">
        <v>11.2</v>
      </c>
      <c r="G841" s="165">
        <v>4.8</v>
      </c>
      <c r="H841" s="191">
        <f>G841*F841</f>
        <v>53.76</v>
      </c>
    </row>
    <row r="842" spans="2:8" s="42" customFormat="1" ht="15" x14ac:dyDescent="0.25">
      <c r="B842" s="654"/>
      <c r="C842" s="675"/>
      <c r="D842" s="40" t="s">
        <v>659</v>
      </c>
      <c r="E842" s="140" t="s">
        <v>17</v>
      </c>
      <c r="F842" s="165">
        <v>13.9</v>
      </c>
      <c r="G842" s="165">
        <v>4.9000000000000004</v>
      </c>
      <c r="H842" s="191">
        <f>G842*F842</f>
        <v>68.110000000000014</v>
      </c>
    </row>
    <row r="843" spans="2:8" s="42" customFormat="1" ht="31.5" x14ac:dyDescent="0.25">
      <c r="B843" s="598" t="s">
        <v>669</v>
      </c>
      <c r="C843" s="611" t="s">
        <v>670</v>
      </c>
      <c r="D843" s="60" t="s">
        <v>671</v>
      </c>
      <c r="E843" s="99" t="s">
        <v>63</v>
      </c>
      <c r="F843" s="671" t="s">
        <v>27</v>
      </c>
      <c r="G843" s="671"/>
      <c r="H843" s="192">
        <f>SUM(H844:H852)</f>
        <v>133.24</v>
      </c>
    </row>
    <row r="844" spans="2:8" s="42" customFormat="1" ht="15" x14ac:dyDescent="0.25">
      <c r="B844" s="652"/>
      <c r="C844" s="673"/>
      <c r="D844" s="45" t="s">
        <v>672</v>
      </c>
      <c r="E844" s="44" t="s">
        <v>63</v>
      </c>
      <c r="F844" s="670">
        <v>2.5</v>
      </c>
      <c r="G844" s="670"/>
      <c r="H844" s="199">
        <f>F844</f>
        <v>2.5</v>
      </c>
    </row>
    <row r="845" spans="2:8" s="42" customFormat="1" ht="15" x14ac:dyDescent="0.25">
      <c r="B845" s="654"/>
      <c r="C845" s="675"/>
      <c r="D845" s="45" t="s">
        <v>673</v>
      </c>
      <c r="E845" s="44" t="s">
        <v>63</v>
      </c>
      <c r="F845" s="670">
        <v>0.8</v>
      </c>
      <c r="G845" s="670"/>
      <c r="H845" s="199">
        <f t="shared" ref="H845:H852" si="31">F845</f>
        <v>0.8</v>
      </c>
    </row>
    <row r="846" spans="2:8" s="42" customFormat="1" ht="15" x14ac:dyDescent="0.25">
      <c r="B846" s="654"/>
      <c r="C846" s="675"/>
      <c r="D846" s="45" t="s">
        <v>674</v>
      </c>
      <c r="E846" s="44" t="s">
        <v>63</v>
      </c>
      <c r="F846" s="670">
        <v>2.11</v>
      </c>
      <c r="G846" s="670"/>
      <c r="H846" s="199">
        <f t="shared" si="31"/>
        <v>2.11</v>
      </c>
    </row>
    <row r="847" spans="2:8" s="42" customFormat="1" ht="15" x14ac:dyDescent="0.25">
      <c r="B847" s="654"/>
      <c r="C847" s="675"/>
      <c r="D847" s="45" t="s">
        <v>675</v>
      </c>
      <c r="E847" s="44" t="s">
        <v>63</v>
      </c>
      <c r="F847" s="670">
        <v>0.8</v>
      </c>
      <c r="G847" s="670"/>
      <c r="H847" s="199">
        <f t="shared" si="31"/>
        <v>0.8</v>
      </c>
    </row>
    <row r="848" spans="2:8" s="42" customFormat="1" ht="15" x14ac:dyDescent="0.25">
      <c r="B848" s="654"/>
      <c r="C848" s="675"/>
      <c r="D848" s="45" t="s">
        <v>676</v>
      </c>
      <c r="E848" s="44" t="s">
        <v>63</v>
      </c>
      <c r="F848" s="670">
        <v>6.84</v>
      </c>
      <c r="G848" s="670"/>
      <c r="H848" s="199">
        <f t="shared" si="31"/>
        <v>6.84</v>
      </c>
    </row>
    <row r="849" spans="2:8" s="42" customFormat="1" ht="15" x14ac:dyDescent="0.25">
      <c r="B849" s="654"/>
      <c r="C849" s="675"/>
      <c r="D849" s="45" t="s">
        <v>677</v>
      </c>
      <c r="E849" s="44" t="s">
        <v>63</v>
      </c>
      <c r="F849" s="691">
        <v>17.350000000000001</v>
      </c>
      <c r="G849" s="684"/>
      <c r="H849" s="199">
        <f t="shared" si="31"/>
        <v>17.350000000000001</v>
      </c>
    </row>
    <row r="850" spans="2:8" s="42" customFormat="1" ht="15" x14ac:dyDescent="0.25">
      <c r="B850" s="654"/>
      <c r="C850" s="675"/>
      <c r="D850" s="45" t="s">
        <v>678</v>
      </c>
      <c r="E850" s="44" t="s">
        <v>63</v>
      </c>
      <c r="F850" s="691">
        <v>20.34</v>
      </c>
      <c r="G850" s="684"/>
      <c r="H850" s="199">
        <f t="shared" si="31"/>
        <v>20.34</v>
      </c>
    </row>
    <row r="851" spans="2:8" s="42" customFormat="1" ht="15" x14ac:dyDescent="0.25">
      <c r="B851" s="654"/>
      <c r="C851" s="675"/>
      <c r="D851" s="45" t="s">
        <v>23</v>
      </c>
      <c r="E851" s="44" t="s">
        <v>63</v>
      </c>
      <c r="F851" s="691">
        <v>44</v>
      </c>
      <c r="G851" s="684"/>
      <c r="H851" s="199">
        <f t="shared" si="31"/>
        <v>44</v>
      </c>
    </row>
    <row r="852" spans="2:8" s="42" customFormat="1" ht="15" x14ac:dyDescent="0.25">
      <c r="B852" s="656"/>
      <c r="C852" s="674"/>
      <c r="D852" s="45" t="s">
        <v>679</v>
      </c>
      <c r="E852" s="44" t="s">
        <v>63</v>
      </c>
      <c r="F852" s="691">
        <f>3.5*11</f>
        <v>38.5</v>
      </c>
      <c r="G852" s="684"/>
      <c r="H852" s="199">
        <f t="shared" si="31"/>
        <v>38.5</v>
      </c>
    </row>
    <row r="853" spans="2:8" s="42" customFormat="1" ht="15.75" x14ac:dyDescent="0.25">
      <c r="B853" s="598" t="s">
        <v>680</v>
      </c>
      <c r="C853" s="611">
        <v>160602</v>
      </c>
      <c r="D853" s="60" t="s">
        <v>681</v>
      </c>
      <c r="E853" s="99" t="s">
        <v>63</v>
      </c>
      <c r="F853" s="671" t="s">
        <v>27</v>
      </c>
      <c r="G853" s="671"/>
      <c r="H853" s="192">
        <f>SUM(H854:H858)</f>
        <v>308.99</v>
      </c>
    </row>
    <row r="854" spans="2:8" s="42" customFormat="1" ht="15" x14ac:dyDescent="0.25">
      <c r="B854" s="652"/>
      <c r="C854" s="673"/>
      <c r="D854" s="45" t="s">
        <v>682</v>
      </c>
      <c r="E854" s="44" t="s">
        <v>63</v>
      </c>
      <c r="F854" s="691">
        <f>9.25+9.8+15.66+1.5+2+1.5+3.15+6.84+22+16.95+14.92+17.67+9.92+20.36+5.1+25.26</f>
        <v>181.87999999999997</v>
      </c>
      <c r="G854" s="684"/>
      <c r="H854" s="199">
        <f>F854</f>
        <v>181.87999999999997</v>
      </c>
    </row>
    <row r="855" spans="2:8" s="42" customFormat="1" ht="15" x14ac:dyDescent="0.25">
      <c r="B855" s="654"/>
      <c r="C855" s="675"/>
      <c r="D855" s="45" t="s">
        <v>573</v>
      </c>
      <c r="E855" s="44" t="s">
        <v>63</v>
      </c>
      <c r="F855" s="691">
        <f>3.4*5</f>
        <v>17</v>
      </c>
      <c r="G855" s="684"/>
      <c r="H855" s="199">
        <f>F855</f>
        <v>17</v>
      </c>
    </row>
    <row r="856" spans="2:8" s="42" customFormat="1" ht="15" x14ac:dyDescent="0.25">
      <c r="B856" s="654"/>
      <c r="C856" s="675"/>
      <c r="D856" s="45" t="s">
        <v>683</v>
      </c>
      <c r="E856" s="44" t="s">
        <v>63</v>
      </c>
      <c r="F856" s="691">
        <f>19.55+12.85</f>
        <v>32.4</v>
      </c>
      <c r="G856" s="684"/>
      <c r="H856" s="199">
        <f>F856</f>
        <v>32.4</v>
      </c>
    </row>
    <row r="857" spans="2:8" s="42" customFormat="1" ht="15" x14ac:dyDescent="0.25">
      <c r="B857" s="654"/>
      <c r="C857" s="675"/>
      <c r="D857" s="45" t="s">
        <v>684</v>
      </c>
      <c r="E857" s="44" t="s">
        <v>63</v>
      </c>
      <c r="F857" s="691">
        <f>4.7+2.76+20.4</f>
        <v>27.86</v>
      </c>
      <c r="G857" s="684"/>
      <c r="H857" s="199">
        <f>F857</f>
        <v>27.86</v>
      </c>
    </row>
    <row r="858" spans="2:8" s="42" customFormat="1" ht="15" x14ac:dyDescent="0.25">
      <c r="B858" s="656"/>
      <c r="C858" s="674"/>
      <c r="D858" s="45" t="s">
        <v>685</v>
      </c>
      <c r="E858" s="44" t="s">
        <v>63</v>
      </c>
      <c r="F858" s="691">
        <v>49.85</v>
      </c>
      <c r="G858" s="684"/>
      <c r="H858" s="199">
        <f>F858</f>
        <v>49.85</v>
      </c>
    </row>
    <row r="859" spans="2:8" s="42" customFormat="1" ht="15.6" customHeight="1" x14ac:dyDescent="0.25">
      <c r="B859" s="598" t="s">
        <v>686</v>
      </c>
      <c r="C859" s="611">
        <v>160911</v>
      </c>
      <c r="D859" s="60" t="s">
        <v>687</v>
      </c>
      <c r="E859" s="53" t="s">
        <v>17</v>
      </c>
      <c r="F859" s="164" t="s">
        <v>27</v>
      </c>
      <c r="G859" s="164" t="s">
        <v>19</v>
      </c>
      <c r="H859" s="192">
        <f>H860</f>
        <v>52.306799999999996</v>
      </c>
    </row>
    <row r="860" spans="2:8" s="42" customFormat="1" ht="15" x14ac:dyDescent="0.25">
      <c r="B860" s="605"/>
      <c r="C860" s="606"/>
      <c r="D860" s="45" t="s">
        <v>688</v>
      </c>
      <c r="E860" s="44" t="s">
        <v>17</v>
      </c>
      <c r="F860" s="395">
        <v>14.37</v>
      </c>
      <c r="G860" s="209">
        <v>3.64</v>
      </c>
      <c r="H860" s="199">
        <f>F860*G860</f>
        <v>52.306799999999996</v>
      </c>
    </row>
    <row r="861" spans="2:8" s="42" customFormat="1" ht="15.75" x14ac:dyDescent="0.25">
      <c r="B861" s="740" t="s">
        <v>689</v>
      </c>
      <c r="C861" s="728"/>
      <c r="D861" s="741"/>
      <c r="E861" s="741"/>
      <c r="F861" s="741"/>
      <c r="G861" s="741"/>
      <c r="H861" s="742"/>
    </row>
    <row r="862" spans="2:8" s="42" customFormat="1" ht="15.75" x14ac:dyDescent="0.25">
      <c r="B862" s="610">
        <v>13</v>
      </c>
      <c r="C862" s="430">
        <v>170000</v>
      </c>
      <c r="D862" s="720" t="s">
        <v>690</v>
      </c>
      <c r="E862" s="681"/>
      <c r="F862" s="681"/>
      <c r="G862" s="721"/>
      <c r="H862" s="195" t="s">
        <v>120</v>
      </c>
    </row>
    <row r="863" spans="2:8" s="42" customFormat="1" ht="15.75" x14ac:dyDescent="0.25">
      <c r="B863" s="633" t="s">
        <v>691</v>
      </c>
      <c r="C863" s="634">
        <v>170102</v>
      </c>
      <c r="D863" s="324" t="s">
        <v>692</v>
      </c>
      <c r="E863" s="53" t="s">
        <v>67</v>
      </c>
      <c r="F863" s="818" t="s">
        <v>68</v>
      </c>
      <c r="G863" s="819"/>
      <c r="H863" s="329">
        <v>2</v>
      </c>
    </row>
    <row r="864" spans="2:8" s="42" customFormat="1" ht="15.75" customHeight="1" x14ac:dyDescent="0.2">
      <c r="B864" s="820" t="s">
        <v>693</v>
      </c>
      <c r="C864" s="821"/>
      <c r="D864" s="325" t="s">
        <v>694</v>
      </c>
      <c r="E864" s="44" t="s">
        <v>67</v>
      </c>
      <c r="F864" s="757">
        <v>1</v>
      </c>
      <c r="G864" s="758"/>
      <c r="H864" s="327">
        <v>1</v>
      </c>
    </row>
    <row r="865" spans="2:8" s="42" customFormat="1" ht="15.75" customHeight="1" x14ac:dyDescent="0.2">
      <c r="B865" s="822"/>
      <c r="C865" s="823"/>
      <c r="D865" s="326" t="s">
        <v>695</v>
      </c>
      <c r="E865" s="44" t="s">
        <v>67</v>
      </c>
      <c r="F865" s="757">
        <v>1</v>
      </c>
      <c r="G865" s="758"/>
      <c r="H865" s="328">
        <v>1</v>
      </c>
    </row>
    <row r="866" spans="2:8" s="42" customFormat="1" ht="15.75" x14ac:dyDescent="0.25">
      <c r="B866" s="598" t="s">
        <v>696</v>
      </c>
      <c r="C866" s="442">
        <v>170103</v>
      </c>
      <c r="D866" s="52" t="s">
        <v>697</v>
      </c>
      <c r="E866" s="53" t="s">
        <v>67</v>
      </c>
      <c r="F866" s="707" t="s">
        <v>68</v>
      </c>
      <c r="G866" s="707"/>
      <c r="H866" s="192">
        <f>SUM(H867:H868)</f>
        <v>2</v>
      </c>
    </row>
    <row r="867" spans="2:8" s="42" customFormat="1" ht="15" x14ac:dyDescent="0.25">
      <c r="B867" s="668"/>
      <c r="C867" s="669"/>
      <c r="D867" s="45" t="s">
        <v>353</v>
      </c>
      <c r="E867" s="44" t="s">
        <v>67</v>
      </c>
      <c r="F867" s="670">
        <v>1</v>
      </c>
      <c r="G867" s="670"/>
      <c r="H867" s="199">
        <f>F867</f>
        <v>1</v>
      </c>
    </row>
    <row r="868" spans="2:8" s="42" customFormat="1" ht="15" x14ac:dyDescent="0.25">
      <c r="B868" s="668"/>
      <c r="C868" s="669"/>
      <c r="D868" s="45" t="s">
        <v>572</v>
      </c>
      <c r="E868" s="44" t="s">
        <v>67</v>
      </c>
      <c r="F868" s="670">
        <v>1</v>
      </c>
      <c r="G868" s="670"/>
      <c r="H868" s="199">
        <f>F868</f>
        <v>1</v>
      </c>
    </row>
    <row r="869" spans="2:8" s="42" customFormat="1" ht="15.75" x14ac:dyDescent="0.25">
      <c r="B869" s="598" t="s">
        <v>698</v>
      </c>
      <c r="C869" s="442">
        <v>170110</v>
      </c>
      <c r="D869" s="52" t="s">
        <v>699</v>
      </c>
      <c r="E869" s="53" t="s">
        <v>67</v>
      </c>
      <c r="F869" s="743" t="s">
        <v>68</v>
      </c>
      <c r="G869" s="744"/>
      <c r="H869" s="192">
        <f>SUM(H870:H874)</f>
        <v>5</v>
      </c>
    </row>
    <row r="870" spans="2:8" s="42" customFormat="1" ht="15" x14ac:dyDescent="0.25">
      <c r="B870" s="658"/>
      <c r="C870" s="693"/>
      <c r="D870" s="45" t="s">
        <v>28</v>
      </c>
      <c r="E870" s="44" t="s">
        <v>67</v>
      </c>
      <c r="F870" s="759">
        <v>1</v>
      </c>
      <c r="G870" s="760"/>
      <c r="H870" s="193">
        <f>F870</f>
        <v>1</v>
      </c>
    </row>
    <row r="871" spans="2:8" s="42" customFormat="1" ht="15" x14ac:dyDescent="0.25">
      <c r="B871" s="694"/>
      <c r="C871" s="695"/>
      <c r="D871" s="45" t="s">
        <v>21</v>
      </c>
      <c r="E871" s="44" t="s">
        <v>67</v>
      </c>
      <c r="F871" s="759">
        <v>1</v>
      </c>
      <c r="G871" s="760"/>
      <c r="H871" s="193">
        <f>F871</f>
        <v>1</v>
      </c>
    </row>
    <row r="872" spans="2:8" s="42" customFormat="1" ht="15" x14ac:dyDescent="0.25">
      <c r="B872" s="694"/>
      <c r="C872" s="695"/>
      <c r="D872" s="45" t="s">
        <v>22</v>
      </c>
      <c r="E872" s="44" t="s">
        <v>67</v>
      </c>
      <c r="F872" s="759">
        <v>1</v>
      </c>
      <c r="G872" s="760"/>
      <c r="H872" s="193">
        <f>F872</f>
        <v>1</v>
      </c>
    </row>
    <row r="873" spans="2:8" s="42" customFormat="1" ht="15" x14ac:dyDescent="0.25">
      <c r="B873" s="694"/>
      <c r="C873" s="695"/>
      <c r="D873" s="45" t="s">
        <v>29</v>
      </c>
      <c r="E873" s="44" t="s">
        <v>67</v>
      </c>
      <c r="F873" s="759">
        <v>1</v>
      </c>
      <c r="G873" s="760"/>
      <c r="H873" s="193">
        <f>F873</f>
        <v>1</v>
      </c>
    </row>
    <row r="874" spans="2:8" s="42" customFormat="1" ht="15" x14ac:dyDescent="0.25">
      <c r="B874" s="694"/>
      <c r="C874" s="695"/>
      <c r="D874" s="42" t="s">
        <v>613</v>
      </c>
      <c r="E874" s="44" t="s">
        <v>67</v>
      </c>
      <c r="F874" s="759">
        <v>1</v>
      </c>
      <c r="G874" s="760"/>
      <c r="H874" s="193">
        <f>F874</f>
        <v>1</v>
      </c>
    </row>
    <row r="875" spans="2:8" s="42" customFormat="1" ht="15.75" x14ac:dyDescent="0.25">
      <c r="B875" s="598" t="s">
        <v>700</v>
      </c>
      <c r="C875" s="442">
        <v>170111</v>
      </c>
      <c r="D875" s="52" t="s">
        <v>701</v>
      </c>
      <c r="E875" s="53" t="s">
        <v>67</v>
      </c>
      <c r="F875" s="707" t="s">
        <v>68</v>
      </c>
      <c r="G875" s="707"/>
      <c r="H875" s="192">
        <f>SUM(H876:H877)</f>
        <v>3</v>
      </c>
    </row>
    <row r="876" spans="2:8" s="42" customFormat="1" ht="15" x14ac:dyDescent="0.25">
      <c r="B876" s="652"/>
      <c r="C876" s="673"/>
      <c r="D876" s="45" t="s">
        <v>347</v>
      </c>
      <c r="E876" s="44" t="s">
        <v>67</v>
      </c>
      <c r="F876" s="670">
        <v>1</v>
      </c>
      <c r="G876" s="670"/>
      <c r="H876" s="199">
        <f>F876</f>
        <v>1</v>
      </c>
    </row>
    <row r="877" spans="2:8" s="42" customFormat="1" ht="15" x14ac:dyDescent="0.25">
      <c r="B877" s="654"/>
      <c r="C877" s="675"/>
      <c r="D877" s="45" t="s">
        <v>702</v>
      </c>
      <c r="E877" s="44" t="s">
        <v>67</v>
      </c>
      <c r="F877" s="670">
        <v>2</v>
      </c>
      <c r="G877" s="670"/>
      <c r="H877" s="199">
        <f>F877</f>
        <v>2</v>
      </c>
    </row>
    <row r="878" spans="2:8" s="42" customFormat="1" ht="15.75" x14ac:dyDescent="0.25">
      <c r="B878" s="740" t="s">
        <v>703</v>
      </c>
      <c r="C878" s="728"/>
      <c r="D878" s="741"/>
      <c r="E878" s="741"/>
      <c r="F878" s="741"/>
      <c r="G878" s="741"/>
      <c r="H878" s="742"/>
    </row>
    <row r="879" spans="2:8" s="42" customFormat="1" ht="15.75" x14ac:dyDescent="0.25">
      <c r="B879" s="610">
        <v>14</v>
      </c>
      <c r="C879" s="430">
        <v>180000</v>
      </c>
      <c r="D879" s="728" t="s">
        <v>704</v>
      </c>
      <c r="E879" s="728"/>
      <c r="F879" s="728"/>
      <c r="G879" s="728"/>
      <c r="H879" s="195" t="s">
        <v>120</v>
      </c>
    </row>
    <row r="880" spans="2:8" s="42" customFormat="1" ht="31.5" x14ac:dyDescent="0.25">
      <c r="B880" s="598" t="s">
        <v>705</v>
      </c>
      <c r="C880" s="611" t="s">
        <v>706</v>
      </c>
      <c r="D880" s="52" t="s">
        <v>707</v>
      </c>
      <c r="E880" s="99" t="s">
        <v>17</v>
      </c>
      <c r="F880" s="164" t="s">
        <v>27</v>
      </c>
      <c r="G880" s="164" t="s">
        <v>40</v>
      </c>
      <c r="H880" s="192">
        <f>SUM(H881,H883,H885,H887,H890,H893,H895,H897,H899,H901,H904,H906)</f>
        <v>64.06</v>
      </c>
    </row>
    <row r="881" spans="2:8" s="42" customFormat="1" ht="15.75" x14ac:dyDescent="0.25">
      <c r="B881" s="613"/>
      <c r="C881" s="614"/>
      <c r="D881" s="102" t="s">
        <v>28</v>
      </c>
      <c r="E881" s="103" t="s">
        <v>17</v>
      </c>
      <c r="F881" s="142" t="s">
        <v>27</v>
      </c>
      <c r="G881" s="142" t="s">
        <v>40</v>
      </c>
      <c r="H881" s="198">
        <f>H882</f>
        <v>6.48</v>
      </c>
    </row>
    <row r="882" spans="2:8" s="42" customFormat="1" ht="15" x14ac:dyDescent="0.25">
      <c r="B882" s="599"/>
      <c r="C882" s="600"/>
      <c r="D882" s="45" t="s">
        <v>708</v>
      </c>
      <c r="E882" s="44" t="s">
        <v>17</v>
      </c>
      <c r="F882" s="165">
        <v>1.8</v>
      </c>
      <c r="G882" s="165">
        <v>1.2</v>
      </c>
      <c r="H882" s="199">
        <f>F882*G882*3</f>
        <v>6.48</v>
      </c>
    </row>
    <row r="883" spans="2:8" s="42" customFormat="1" ht="15.75" x14ac:dyDescent="0.25">
      <c r="B883" s="599"/>
      <c r="C883" s="600"/>
      <c r="D883" s="102" t="s">
        <v>21</v>
      </c>
      <c r="E883" s="103" t="s">
        <v>17</v>
      </c>
      <c r="F883" s="142" t="s">
        <v>27</v>
      </c>
      <c r="G883" s="142" t="s">
        <v>40</v>
      </c>
      <c r="H883" s="198">
        <f>SUM(H884:H884)</f>
        <v>6.48</v>
      </c>
    </row>
    <row r="884" spans="2:8" s="42" customFormat="1" ht="15" x14ac:dyDescent="0.25">
      <c r="B884" s="599"/>
      <c r="C884" s="600"/>
      <c r="D884" s="45" t="s">
        <v>708</v>
      </c>
      <c r="E884" s="44" t="s">
        <v>17</v>
      </c>
      <c r="F884" s="165">
        <v>1.8</v>
      </c>
      <c r="G884" s="165">
        <v>1.2</v>
      </c>
      <c r="H884" s="199">
        <f>F884*G884*3</f>
        <v>6.48</v>
      </c>
    </row>
    <row r="885" spans="2:8" s="42" customFormat="1" ht="15.75" x14ac:dyDescent="0.25">
      <c r="B885" s="599"/>
      <c r="C885" s="600"/>
      <c r="D885" s="102" t="s">
        <v>22</v>
      </c>
      <c r="E885" s="103" t="s">
        <v>17</v>
      </c>
      <c r="F885" s="142" t="s">
        <v>27</v>
      </c>
      <c r="G885" s="142" t="s">
        <v>40</v>
      </c>
      <c r="H885" s="198">
        <f>H886</f>
        <v>8.64</v>
      </c>
    </row>
    <row r="886" spans="2:8" s="42" customFormat="1" ht="15" x14ac:dyDescent="0.25">
      <c r="B886" s="599"/>
      <c r="C886" s="600"/>
      <c r="D886" s="45" t="s">
        <v>709</v>
      </c>
      <c r="E886" s="44" t="s">
        <v>17</v>
      </c>
      <c r="F886" s="165">
        <v>1.8</v>
      </c>
      <c r="G886" s="165">
        <v>1.2</v>
      </c>
      <c r="H886" s="199">
        <f>F886*G886*4</f>
        <v>8.64</v>
      </c>
    </row>
    <row r="887" spans="2:8" s="42" customFormat="1" ht="15.75" x14ac:dyDescent="0.25">
      <c r="B887" s="599"/>
      <c r="C887" s="600"/>
      <c r="D887" s="102" t="s">
        <v>29</v>
      </c>
      <c r="E887" s="103" t="s">
        <v>17</v>
      </c>
      <c r="F887" s="142" t="s">
        <v>27</v>
      </c>
      <c r="G887" s="142" t="s">
        <v>40</v>
      </c>
      <c r="H887" s="198">
        <f>SUM(H888:H889)</f>
        <v>4.32</v>
      </c>
    </row>
    <row r="888" spans="2:8" s="42" customFormat="1" ht="15" x14ac:dyDescent="0.25">
      <c r="B888" s="599"/>
      <c r="C888" s="600"/>
      <c r="D888" s="45" t="s">
        <v>709</v>
      </c>
      <c r="E888" s="44" t="s">
        <v>17</v>
      </c>
      <c r="F888" s="165">
        <v>1.8</v>
      </c>
      <c r="G888" s="165">
        <v>1.2</v>
      </c>
      <c r="H888" s="199">
        <f>F888*G888</f>
        <v>2.16</v>
      </c>
    </row>
    <row r="889" spans="2:8" s="42" customFormat="1" ht="15" x14ac:dyDescent="0.25">
      <c r="B889" s="599"/>
      <c r="C889" s="600"/>
      <c r="D889" s="45" t="s">
        <v>710</v>
      </c>
      <c r="E889" s="44" t="s">
        <v>17</v>
      </c>
      <c r="F889" s="165">
        <v>1.8</v>
      </c>
      <c r="G889" s="165">
        <v>0.6</v>
      </c>
      <c r="H889" s="199">
        <f>F889*G889*2</f>
        <v>2.16</v>
      </c>
    </row>
    <row r="890" spans="2:8" s="42" customFormat="1" ht="15.75" x14ac:dyDescent="0.25">
      <c r="B890" s="599"/>
      <c r="C890" s="600"/>
      <c r="D890" s="102" t="s">
        <v>613</v>
      </c>
      <c r="E890" s="103" t="s">
        <v>17</v>
      </c>
      <c r="F890" s="142" t="s">
        <v>27</v>
      </c>
      <c r="G890" s="142" t="s">
        <v>40</v>
      </c>
      <c r="H890" s="198">
        <f>SUM(H891:H892)</f>
        <v>4.68</v>
      </c>
    </row>
    <row r="891" spans="2:8" s="42" customFormat="1" ht="15" x14ac:dyDescent="0.25">
      <c r="B891" s="599"/>
      <c r="C891" s="600"/>
      <c r="D891" s="45" t="s">
        <v>711</v>
      </c>
      <c r="E891" s="44" t="s">
        <v>17</v>
      </c>
      <c r="F891" s="165">
        <v>1.8</v>
      </c>
      <c r="G891" s="165">
        <v>1.4</v>
      </c>
      <c r="H891" s="199">
        <f>F891*G891</f>
        <v>2.52</v>
      </c>
    </row>
    <row r="892" spans="2:8" s="42" customFormat="1" ht="15" x14ac:dyDescent="0.25">
      <c r="B892" s="599"/>
      <c r="C892" s="600"/>
      <c r="D892" s="45" t="s">
        <v>712</v>
      </c>
      <c r="E892" s="44" t="s">
        <v>17</v>
      </c>
      <c r="F892" s="165">
        <v>1.8</v>
      </c>
      <c r="G892" s="165">
        <v>0.6</v>
      </c>
      <c r="H892" s="199">
        <f>F892*G892*2</f>
        <v>2.16</v>
      </c>
    </row>
    <row r="893" spans="2:8" s="42" customFormat="1" ht="15.75" x14ac:dyDescent="0.25">
      <c r="B893" s="599"/>
      <c r="C893" s="600"/>
      <c r="D893" s="102" t="s">
        <v>64</v>
      </c>
      <c r="E893" s="103" t="s">
        <v>17</v>
      </c>
      <c r="F893" s="142" t="s">
        <v>27</v>
      </c>
      <c r="G893" s="142" t="s">
        <v>40</v>
      </c>
      <c r="H893" s="198">
        <f>H894</f>
        <v>8.64</v>
      </c>
    </row>
    <row r="894" spans="2:8" s="42" customFormat="1" ht="15" x14ac:dyDescent="0.25">
      <c r="B894" s="599"/>
      <c r="C894" s="600"/>
      <c r="D894" s="45" t="s">
        <v>711</v>
      </c>
      <c r="E894" s="44" t="s">
        <v>17</v>
      </c>
      <c r="F894" s="165">
        <v>1.8</v>
      </c>
      <c r="G894" s="165">
        <v>1.2</v>
      </c>
      <c r="H894" s="199">
        <f>F894*G894*4</f>
        <v>8.64</v>
      </c>
    </row>
    <row r="895" spans="2:8" s="42" customFormat="1" ht="15.75" x14ac:dyDescent="0.25">
      <c r="B895" s="599"/>
      <c r="C895" s="600"/>
      <c r="D895" s="102" t="s">
        <v>353</v>
      </c>
      <c r="E895" s="103" t="s">
        <v>17</v>
      </c>
      <c r="F895" s="142" t="s">
        <v>27</v>
      </c>
      <c r="G895" s="142" t="s">
        <v>40</v>
      </c>
      <c r="H895" s="198">
        <f>SUM(H896:H896)</f>
        <v>1.5</v>
      </c>
    </row>
    <row r="896" spans="2:8" s="42" customFormat="1" ht="15" x14ac:dyDescent="0.25">
      <c r="B896" s="599"/>
      <c r="C896" s="600"/>
      <c r="D896" s="45" t="s">
        <v>713</v>
      </c>
      <c r="E896" s="44" t="s">
        <v>17</v>
      </c>
      <c r="F896" s="165">
        <v>1.5</v>
      </c>
      <c r="G896" s="165">
        <v>1</v>
      </c>
      <c r="H896" s="199">
        <f>F896*G896</f>
        <v>1.5</v>
      </c>
    </row>
    <row r="897" spans="2:8" s="42" customFormat="1" ht="15.75" x14ac:dyDescent="0.25">
      <c r="B897" s="599"/>
      <c r="C897" s="600"/>
      <c r="D897" s="102" t="s">
        <v>572</v>
      </c>
      <c r="E897" s="103" t="s">
        <v>17</v>
      </c>
      <c r="F897" s="142" t="s">
        <v>27</v>
      </c>
      <c r="G897" s="142" t="s">
        <v>40</v>
      </c>
      <c r="H897" s="198">
        <f>H898</f>
        <v>0.72</v>
      </c>
    </row>
    <row r="898" spans="2:8" s="42" customFormat="1" ht="15" x14ac:dyDescent="0.25">
      <c r="B898" s="599"/>
      <c r="C898" s="600"/>
      <c r="D898" s="45" t="s">
        <v>714</v>
      </c>
      <c r="E898" s="44" t="s">
        <v>17</v>
      </c>
      <c r="F898" s="165">
        <v>1.2</v>
      </c>
      <c r="G898" s="165">
        <v>0.6</v>
      </c>
      <c r="H898" s="199">
        <f>F898*G898</f>
        <v>0.72</v>
      </c>
    </row>
    <row r="899" spans="2:8" s="42" customFormat="1" ht="15.75" x14ac:dyDescent="0.25">
      <c r="B899" s="599"/>
      <c r="C899" s="600"/>
      <c r="D899" s="102" t="s">
        <v>715</v>
      </c>
      <c r="E899" s="103" t="s">
        <v>17</v>
      </c>
      <c r="F899" s="142" t="s">
        <v>27</v>
      </c>
      <c r="G899" s="142" t="s">
        <v>40</v>
      </c>
      <c r="H899" s="198">
        <f>H900</f>
        <v>8.64</v>
      </c>
    </row>
    <row r="900" spans="2:8" s="42" customFormat="1" ht="15" x14ac:dyDescent="0.25">
      <c r="B900" s="599"/>
      <c r="C900" s="600"/>
      <c r="D900" s="45" t="s">
        <v>716</v>
      </c>
      <c r="E900" s="44" t="s">
        <v>17</v>
      </c>
      <c r="F900" s="165">
        <v>1.2</v>
      </c>
      <c r="G900" s="165">
        <v>1.2</v>
      </c>
      <c r="H900" s="199">
        <f>F900*G900*6</f>
        <v>8.64</v>
      </c>
    </row>
    <row r="901" spans="2:8" s="42" customFormat="1" ht="15.75" x14ac:dyDescent="0.25">
      <c r="B901" s="599"/>
      <c r="C901" s="600"/>
      <c r="D901" s="102" t="s">
        <v>64</v>
      </c>
      <c r="E901" s="103" t="s">
        <v>17</v>
      </c>
      <c r="F901" s="142" t="s">
        <v>27</v>
      </c>
      <c r="G901" s="142" t="s">
        <v>40</v>
      </c>
      <c r="H901" s="198">
        <f>SUM(H902:H903)</f>
        <v>9.24</v>
      </c>
    </row>
    <row r="902" spans="2:8" s="42" customFormat="1" ht="15" x14ac:dyDescent="0.25">
      <c r="B902" s="599"/>
      <c r="C902" s="600"/>
      <c r="D902" s="45" t="s">
        <v>717</v>
      </c>
      <c r="E902" s="44" t="s">
        <v>17</v>
      </c>
      <c r="F902" s="165">
        <v>2.4</v>
      </c>
      <c r="G902" s="165">
        <v>1.4</v>
      </c>
      <c r="H902" s="199">
        <f>F902*G902*2</f>
        <v>6.72</v>
      </c>
    </row>
    <row r="903" spans="2:8" s="42" customFormat="1" ht="15" x14ac:dyDescent="0.25">
      <c r="B903" s="599"/>
      <c r="C903" s="600"/>
      <c r="D903" s="45" t="s">
        <v>718</v>
      </c>
      <c r="E903" s="44" t="s">
        <v>17</v>
      </c>
      <c r="F903" s="165">
        <v>1.8</v>
      </c>
      <c r="G903" s="165">
        <v>1.4</v>
      </c>
      <c r="H903" s="199">
        <f>F903*G903</f>
        <v>2.52</v>
      </c>
    </row>
    <row r="904" spans="2:8" s="42" customFormat="1" ht="15.75" x14ac:dyDescent="0.25">
      <c r="B904" s="599"/>
      <c r="C904" s="600"/>
      <c r="D904" s="102" t="s">
        <v>353</v>
      </c>
      <c r="E904" s="103" t="s">
        <v>17</v>
      </c>
      <c r="F904" s="142" t="s">
        <v>27</v>
      </c>
      <c r="G904" s="142" t="s">
        <v>40</v>
      </c>
      <c r="H904" s="198">
        <f>H905</f>
        <v>3.6399999999999997</v>
      </c>
    </row>
    <row r="905" spans="2:8" s="42" customFormat="1" ht="15" x14ac:dyDescent="0.25">
      <c r="B905" s="599"/>
      <c r="C905" s="600"/>
      <c r="D905" s="45" t="s">
        <v>719</v>
      </c>
      <c r="E905" s="44" t="s">
        <v>17</v>
      </c>
      <c r="F905" s="165">
        <v>1.3</v>
      </c>
      <c r="G905" s="165">
        <v>1.4</v>
      </c>
      <c r="H905" s="199">
        <f>F905*G905*2</f>
        <v>3.6399999999999997</v>
      </c>
    </row>
    <row r="906" spans="2:8" s="42" customFormat="1" ht="15.75" x14ac:dyDescent="0.25">
      <c r="B906" s="599"/>
      <c r="C906" s="600"/>
      <c r="D906" s="456" t="s">
        <v>720</v>
      </c>
      <c r="E906" s="103" t="s">
        <v>17</v>
      </c>
      <c r="F906" s="142" t="s">
        <v>27</v>
      </c>
      <c r="G906" s="142" t="s">
        <v>40</v>
      </c>
      <c r="H906" s="198">
        <f>SUM(H907:H907)</f>
        <v>1.08</v>
      </c>
    </row>
    <row r="907" spans="2:8" s="42" customFormat="1" ht="15" x14ac:dyDescent="0.25">
      <c r="B907" s="599"/>
      <c r="C907" s="600"/>
      <c r="D907" s="45" t="s">
        <v>721</v>
      </c>
      <c r="E907" s="44" t="s">
        <v>17</v>
      </c>
      <c r="F907" s="165">
        <v>1.8</v>
      </c>
      <c r="G907" s="165">
        <v>0.6</v>
      </c>
      <c r="H907" s="199">
        <f>F907*G907</f>
        <v>1.08</v>
      </c>
    </row>
    <row r="908" spans="2:8" s="42" customFormat="1" ht="15.75" x14ac:dyDescent="0.25">
      <c r="B908" s="598" t="s">
        <v>722</v>
      </c>
      <c r="C908" s="611" t="s">
        <v>723</v>
      </c>
      <c r="D908" s="52" t="s">
        <v>724</v>
      </c>
      <c r="E908" s="99" t="s">
        <v>17</v>
      </c>
      <c r="F908" s="164" t="s">
        <v>27</v>
      </c>
      <c r="G908" s="164" t="s">
        <v>40</v>
      </c>
      <c r="H908" s="192">
        <f>SUM(H909,H911)</f>
        <v>0.6</v>
      </c>
    </row>
    <row r="909" spans="2:8" s="42" customFormat="1" ht="15.75" x14ac:dyDescent="0.25">
      <c r="B909" s="599"/>
      <c r="C909" s="600"/>
      <c r="D909" s="102" t="s">
        <v>725</v>
      </c>
      <c r="E909" s="103" t="s">
        <v>17</v>
      </c>
      <c r="F909" s="142" t="s">
        <v>27</v>
      </c>
      <c r="G909" s="142" t="s">
        <v>40</v>
      </c>
      <c r="H909" s="198">
        <f>SUM(H910)</f>
        <v>0.3</v>
      </c>
    </row>
    <row r="910" spans="2:8" s="42" customFormat="1" ht="15" x14ac:dyDescent="0.25">
      <c r="B910" s="599"/>
      <c r="C910" s="600"/>
      <c r="D910" s="45" t="s">
        <v>726</v>
      </c>
      <c r="E910" s="44" t="s">
        <v>17</v>
      </c>
      <c r="F910" s="165">
        <v>0.6</v>
      </c>
      <c r="G910" s="165">
        <v>0.5</v>
      </c>
      <c r="H910" s="199">
        <f>F910*G910</f>
        <v>0.3</v>
      </c>
    </row>
    <row r="911" spans="2:8" s="42" customFormat="1" ht="15.75" x14ac:dyDescent="0.25">
      <c r="B911" s="599"/>
      <c r="C911" s="600"/>
      <c r="D911" s="102" t="s">
        <v>727</v>
      </c>
      <c r="E911" s="103" t="s">
        <v>17</v>
      </c>
      <c r="F911" s="142" t="s">
        <v>27</v>
      </c>
      <c r="G911" s="142" t="s">
        <v>40</v>
      </c>
      <c r="H911" s="198">
        <f>SUM(H912:H912)</f>
        <v>0.3</v>
      </c>
    </row>
    <row r="912" spans="2:8" s="42" customFormat="1" ht="15" x14ac:dyDescent="0.25">
      <c r="B912" s="635"/>
      <c r="C912" s="636"/>
      <c r="D912" s="45" t="s">
        <v>726</v>
      </c>
      <c r="E912" s="44" t="s">
        <v>17</v>
      </c>
      <c r="F912" s="165">
        <v>0.6</v>
      </c>
      <c r="G912" s="165">
        <v>0.5</v>
      </c>
      <c r="H912" s="199">
        <f>F912*G912</f>
        <v>0.3</v>
      </c>
    </row>
    <row r="913" spans="2:8" s="42" customFormat="1" ht="15.75" x14ac:dyDescent="0.25">
      <c r="B913" s="598" t="s">
        <v>728</v>
      </c>
      <c r="C913" s="611">
        <v>180304</v>
      </c>
      <c r="D913" s="48" t="s">
        <v>729</v>
      </c>
      <c r="E913" s="99" t="s">
        <v>17</v>
      </c>
      <c r="F913" s="164" t="s">
        <v>27</v>
      </c>
      <c r="G913" s="164" t="s">
        <v>40</v>
      </c>
      <c r="H913" s="192">
        <f>SUM(H914:H914)</f>
        <v>1.4400000000000002</v>
      </c>
    </row>
    <row r="914" spans="2:8" s="42" customFormat="1" ht="15" x14ac:dyDescent="0.25">
      <c r="B914" s="656"/>
      <c r="C914" s="674"/>
      <c r="D914" s="45" t="s">
        <v>579</v>
      </c>
      <c r="E914" s="44" t="s">
        <v>17</v>
      </c>
      <c r="F914" s="165">
        <v>0.8</v>
      </c>
      <c r="G914" s="165">
        <v>1.8</v>
      </c>
      <c r="H914" s="199">
        <f>G914*F914</f>
        <v>1.4400000000000002</v>
      </c>
    </row>
    <row r="915" spans="2:8" s="42" customFormat="1" ht="15.75" x14ac:dyDescent="0.25">
      <c r="B915" s="598" t="s">
        <v>730</v>
      </c>
      <c r="C915" s="611">
        <v>180104</v>
      </c>
      <c r="D915" s="48" t="s">
        <v>731</v>
      </c>
      <c r="E915" s="164" t="s">
        <v>17</v>
      </c>
      <c r="F915" s="164" t="s">
        <v>27</v>
      </c>
      <c r="G915" s="164" t="s">
        <v>40</v>
      </c>
      <c r="H915" s="192">
        <f>SUM(H916:H918)</f>
        <v>5.0400000000000009</v>
      </c>
    </row>
    <row r="916" spans="2:8" s="42" customFormat="1" ht="15" x14ac:dyDescent="0.25">
      <c r="B916" s="652"/>
      <c r="C916" s="673"/>
      <c r="D916" s="45" t="s">
        <v>351</v>
      </c>
      <c r="E916" s="44" t="s">
        <v>17</v>
      </c>
      <c r="F916" s="165">
        <v>0.8</v>
      </c>
      <c r="G916" s="165">
        <v>2.1</v>
      </c>
      <c r="H916" s="199">
        <f>F916*G916</f>
        <v>1.6800000000000002</v>
      </c>
    </row>
    <row r="917" spans="2:8" s="42" customFormat="1" ht="15" x14ac:dyDescent="0.25">
      <c r="B917" s="654"/>
      <c r="C917" s="675"/>
      <c r="D917" s="45" t="s">
        <v>352</v>
      </c>
      <c r="E917" s="44" t="s">
        <v>17</v>
      </c>
      <c r="F917" s="165">
        <v>0.8</v>
      </c>
      <c r="G917" s="165">
        <v>2.1</v>
      </c>
      <c r="H917" s="199">
        <f t="shared" ref="H917:H918" si="32">F917*G917</f>
        <v>1.6800000000000002</v>
      </c>
    </row>
    <row r="918" spans="2:8" s="42" customFormat="1" ht="15" x14ac:dyDescent="0.25">
      <c r="B918" s="603"/>
      <c r="C918" s="604"/>
      <c r="D918" s="45" t="s">
        <v>732</v>
      </c>
      <c r="E918" s="44" t="s">
        <v>17</v>
      </c>
      <c r="F918" s="165">
        <v>0.8</v>
      </c>
      <c r="G918" s="165">
        <v>2.1</v>
      </c>
      <c r="H918" s="199">
        <f t="shared" si="32"/>
        <v>1.6800000000000002</v>
      </c>
    </row>
    <row r="919" spans="2:8" s="42" customFormat="1" ht="15.75" x14ac:dyDescent="0.25">
      <c r="B919" s="598" t="s">
        <v>733</v>
      </c>
      <c r="C919" s="611">
        <v>180506</v>
      </c>
      <c r="D919" s="48" t="s">
        <v>734</v>
      </c>
      <c r="E919" s="164" t="s">
        <v>17</v>
      </c>
      <c r="F919" s="164" t="s">
        <v>27</v>
      </c>
      <c r="G919" s="164" t="s">
        <v>40</v>
      </c>
      <c r="H919" s="192">
        <f>SUM(H920:H923)</f>
        <v>33.6</v>
      </c>
    </row>
    <row r="920" spans="2:8" s="42" customFormat="1" ht="15" x14ac:dyDescent="0.25">
      <c r="B920" s="652"/>
      <c r="C920" s="673"/>
      <c r="D920" s="45" t="s">
        <v>22</v>
      </c>
      <c r="E920" s="44" t="s">
        <v>17</v>
      </c>
      <c r="F920" s="165">
        <v>2</v>
      </c>
      <c r="G920" s="165">
        <v>2.1</v>
      </c>
      <c r="H920" s="199">
        <f>2*G920*F920</f>
        <v>8.4</v>
      </c>
    </row>
    <row r="921" spans="2:8" s="42" customFormat="1" ht="15" x14ac:dyDescent="0.25">
      <c r="B921" s="654"/>
      <c r="C921" s="675"/>
      <c r="D921" s="45" t="s">
        <v>29</v>
      </c>
      <c r="E921" s="44" t="s">
        <v>17</v>
      </c>
      <c r="F921" s="165">
        <v>2</v>
      </c>
      <c r="G921" s="165">
        <v>2.1</v>
      </c>
      <c r="H921" s="199">
        <f>2*G921*F921</f>
        <v>8.4</v>
      </c>
    </row>
    <row r="922" spans="2:8" s="42" customFormat="1" ht="15" x14ac:dyDescent="0.25">
      <c r="B922" s="654"/>
      <c r="C922" s="675"/>
      <c r="D922" s="45" t="s">
        <v>613</v>
      </c>
      <c r="E922" s="44" t="s">
        <v>17</v>
      </c>
      <c r="F922" s="165">
        <v>2</v>
      </c>
      <c r="G922" s="165">
        <v>2.1</v>
      </c>
      <c r="H922" s="199">
        <f>2*G922*F922</f>
        <v>8.4</v>
      </c>
    </row>
    <row r="923" spans="2:8" s="42" customFormat="1" ht="15" x14ac:dyDescent="0.25">
      <c r="B923" s="656"/>
      <c r="C923" s="674"/>
      <c r="D923" s="45" t="s">
        <v>735</v>
      </c>
      <c r="E923" s="44" t="s">
        <v>17</v>
      </c>
      <c r="F923" s="165">
        <v>2</v>
      </c>
      <c r="G923" s="165">
        <v>2.1</v>
      </c>
      <c r="H923" s="199">
        <f>2*G923*F923</f>
        <v>8.4</v>
      </c>
    </row>
    <row r="924" spans="2:8" s="42" customFormat="1" ht="15.75" x14ac:dyDescent="0.25">
      <c r="B924" s="598" t="s">
        <v>736</v>
      </c>
      <c r="C924" s="611">
        <v>180303</v>
      </c>
      <c r="D924" s="48" t="s">
        <v>737</v>
      </c>
      <c r="E924" s="99" t="s">
        <v>17</v>
      </c>
      <c r="F924" s="164" t="s">
        <v>27</v>
      </c>
      <c r="G924" s="164" t="s">
        <v>40</v>
      </c>
      <c r="H924" s="192">
        <f>H925</f>
        <v>4.32</v>
      </c>
    </row>
    <row r="925" spans="2:8" s="42" customFormat="1" ht="15.75" x14ac:dyDescent="0.25">
      <c r="B925" s="714"/>
      <c r="C925" s="715"/>
      <c r="D925" s="59" t="s">
        <v>738</v>
      </c>
      <c r="E925" s="44" t="s">
        <v>17</v>
      </c>
      <c r="F925" s="43">
        <v>1.8</v>
      </c>
      <c r="G925" s="43">
        <v>1.2</v>
      </c>
      <c r="H925" s="199">
        <f>G925*F925*2</f>
        <v>4.32</v>
      </c>
    </row>
    <row r="926" spans="2:8" s="42" customFormat="1" ht="15.75" x14ac:dyDescent="0.25">
      <c r="B926" s="598" t="s">
        <v>739</v>
      </c>
      <c r="C926" s="611">
        <v>180305</v>
      </c>
      <c r="D926" s="48" t="s">
        <v>740</v>
      </c>
      <c r="E926" s="99" t="s">
        <v>17</v>
      </c>
      <c r="F926" s="164" t="s">
        <v>27</v>
      </c>
      <c r="G926" s="164" t="s">
        <v>40</v>
      </c>
      <c r="H926" s="192">
        <f>SUM(H927:H928)</f>
        <v>4.26</v>
      </c>
    </row>
    <row r="927" spans="2:8" s="42" customFormat="1" ht="14.25" customHeight="1" x14ac:dyDescent="0.25">
      <c r="B927" s="652"/>
      <c r="C927" s="673"/>
      <c r="D927" s="45" t="s">
        <v>741</v>
      </c>
      <c r="E927" s="44" t="s">
        <v>17</v>
      </c>
      <c r="F927" s="165">
        <v>1.2</v>
      </c>
      <c r="G927" s="165">
        <v>1.8</v>
      </c>
      <c r="H927" s="199">
        <f>G927*F927</f>
        <v>2.16</v>
      </c>
    </row>
    <row r="928" spans="2:8" s="42" customFormat="1" ht="14.25" customHeight="1" x14ac:dyDescent="0.25">
      <c r="B928" s="656"/>
      <c r="C928" s="674"/>
      <c r="D928" s="454" t="s">
        <v>742</v>
      </c>
      <c r="E928" s="44" t="s">
        <v>17</v>
      </c>
      <c r="F928" s="165">
        <v>1</v>
      </c>
      <c r="G928" s="165">
        <v>2.1</v>
      </c>
      <c r="H928" s="199">
        <f>F928*G928</f>
        <v>2.1</v>
      </c>
    </row>
    <row r="929" spans="2:8" s="42" customFormat="1" ht="15.75" x14ac:dyDescent="0.25">
      <c r="B929" s="598" t="s">
        <v>743</v>
      </c>
      <c r="C929" s="442">
        <v>180311</v>
      </c>
      <c r="D929" s="455" t="s">
        <v>744</v>
      </c>
      <c r="E929" s="443" t="s">
        <v>17</v>
      </c>
      <c r="F929" s="164" t="s">
        <v>27</v>
      </c>
      <c r="G929" s="164" t="s">
        <v>40</v>
      </c>
      <c r="H929" s="192">
        <f>SUM(H930:H932)</f>
        <v>19.440000000000001</v>
      </c>
    </row>
    <row r="930" spans="2:8" s="42" customFormat="1" ht="15" x14ac:dyDescent="0.25">
      <c r="B930" s="652"/>
      <c r="C930" s="673"/>
      <c r="D930" s="434" t="s">
        <v>745</v>
      </c>
      <c r="E930" s="44" t="s">
        <v>17</v>
      </c>
      <c r="F930" s="165">
        <v>1.8</v>
      </c>
      <c r="G930" s="165">
        <v>1.2</v>
      </c>
      <c r="H930" s="199">
        <f>F930*G930*4</f>
        <v>8.64</v>
      </c>
    </row>
    <row r="931" spans="2:8" s="42" customFormat="1" ht="15" x14ac:dyDescent="0.25">
      <c r="B931" s="654"/>
      <c r="C931" s="675"/>
      <c r="D931" s="45" t="s">
        <v>746</v>
      </c>
      <c r="E931" s="44" t="s">
        <v>17</v>
      </c>
      <c r="F931" s="165">
        <v>1.8</v>
      </c>
      <c r="G931" s="165">
        <v>1.2</v>
      </c>
      <c r="H931" s="199">
        <f>F931*G931*4</f>
        <v>8.64</v>
      </c>
    </row>
    <row r="932" spans="2:8" s="42" customFormat="1" ht="15" x14ac:dyDescent="0.25">
      <c r="B932" s="654"/>
      <c r="C932" s="675"/>
      <c r="D932" s="45" t="s">
        <v>747</v>
      </c>
      <c r="E932" s="44" t="s">
        <v>17</v>
      </c>
      <c r="F932" s="165">
        <v>1.8</v>
      </c>
      <c r="G932" s="165">
        <v>1.2</v>
      </c>
      <c r="H932" s="199">
        <f>F932*G932</f>
        <v>2.16</v>
      </c>
    </row>
    <row r="933" spans="2:8" s="42" customFormat="1" ht="15.75" x14ac:dyDescent="0.25">
      <c r="B933" s="598" t="s">
        <v>748</v>
      </c>
      <c r="C933" s="611">
        <v>180309</v>
      </c>
      <c r="D933" s="218" t="s">
        <v>749</v>
      </c>
      <c r="E933" s="164" t="s">
        <v>17</v>
      </c>
      <c r="F933" s="164" t="s">
        <v>27</v>
      </c>
      <c r="G933" s="164" t="s">
        <v>40</v>
      </c>
      <c r="H933" s="192">
        <f>SUM(H934)</f>
        <v>3.75</v>
      </c>
    </row>
    <row r="934" spans="2:8" s="42" customFormat="1" ht="15.75" x14ac:dyDescent="0.25">
      <c r="B934" s="824"/>
      <c r="C934" s="825"/>
      <c r="D934" s="444" t="s">
        <v>750</v>
      </c>
      <c r="E934" s="445" t="s">
        <v>17</v>
      </c>
      <c r="F934" s="446">
        <v>1.5</v>
      </c>
      <c r="G934" s="446">
        <v>2.5</v>
      </c>
      <c r="H934" s="447">
        <f>G934*F934</f>
        <v>3.75</v>
      </c>
    </row>
    <row r="935" spans="2:8" s="42" customFormat="1" ht="15.75" x14ac:dyDescent="0.25">
      <c r="B935" s="598" t="s">
        <v>751</v>
      </c>
      <c r="C935" s="611" t="s">
        <v>752</v>
      </c>
      <c r="D935" s="457" t="s">
        <v>753</v>
      </c>
      <c r="E935" s="164" t="s">
        <v>17</v>
      </c>
      <c r="F935" s="164" t="s">
        <v>27</v>
      </c>
      <c r="G935" s="164" t="s">
        <v>40</v>
      </c>
      <c r="H935" s="192">
        <f>SUM(H936)</f>
        <v>42.968749999999993</v>
      </c>
    </row>
    <row r="936" spans="2:8" s="42" customFormat="1" ht="15.75" x14ac:dyDescent="0.25">
      <c r="B936" s="824"/>
      <c r="C936" s="825"/>
      <c r="D936" s="444" t="s">
        <v>754</v>
      </c>
      <c r="E936" s="445" t="s">
        <v>17</v>
      </c>
      <c r="F936" s="446">
        <v>110</v>
      </c>
      <c r="G936" s="446">
        <v>1</v>
      </c>
      <c r="H936" s="447">
        <f>(G936*F936)/(1.6*1.6)</f>
        <v>42.968749999999993</v>
      </c>
    </row>
    <row r="937" spans="2:8" s="42" customFormat="1" ht="15.75" x14ac:dyDescent="0.25">
      <c r="B937" s="703" t="s">
        <v>755</v>
      </c>
      <c r="C937" s="704"/>
      <c r="D937" s="705"/>
      <c r="E937" s="705"/>
      <c r="F937" s="705"/>
      <c r="G937" s="705"/>
      <c r="H937" s="706"/>
    </row>
    <row r="938" spans="2:8" s="42" customFormat="1" ht="15.75" x14ac:dyDescent="0.25">
      <c r="B938" s="610">
        <v>15</v>
      </c>
      <c r="C938" s="430">
        <v>200000</v>
      </c>
      <c r="D938" s="728" t="s">
        <v>756</v>
      </c>
      <c r="E938" s="728"/>
      <c r="F938" s="728"/>
      <c r="G938" s="728"/>
      <c r="H938" s="195" t="s">
        <v>120</v>
      </c>
    </row>
    <row r="939" spans="2:8" s="42" customFormat="1" ht="15.75" x14ac:dyDescent="0.25">
      <c r="B939" s="598" t="s">
        <v>757</v>
      </c>
      <c r="C939" s="611">
        <v>201302</v>
      </c>
      <c r="D939" s="48" t="s">
        <v>758</v>
      </c>
      <c r="E939" s="99" t="s">
        <v>17</v>
      </c>
      <c r="F939" s="164" t="s">
        <v>27</v>
      </c>
      <c r="G939" s="164" t="s">
        <v>40</v>
      </c>
      <c r="H939" s="192">
        <f>SUM(H940:H984)</f>
        <v>351.28399999999993</v>
      </c>
    </row>
    <row r="940" spans="2:8" s="42" customFormat="1" ht="15" x14ac:dyDescent="0.25">
      <c r="B940" s="652"/>
      <c r="C940" s="653"/>
      <c r="D940" s="40" t="s">
        <v>64</v>
      </c>
      <c r="E940" s="140" t="s">
        <v>17</v>
      </c>
      <c r="F940" s="167">
        <f>7.55*2+5.25*2</f>
        <v>25.6</v>
      </c>
      <c r="G940" s="167">
        <v>3</v>
      </c>
      <c r="H940" s="193">
        <f>G940*F940</f>
        <v>76.800000000000011</v>
      </c>
    </row>
    <row r="941" spans="2:8" s="42" customFormat="1" ht="15" x14ac:dyDescent="0.25">
      <c r="B941" s="654"/>
      <c r="C941" s="655"/>
      <c r="D941" s="40" t="s">
        <v>759</v>
      </c>
      <c r="E941" s="140" t="s">
        <v>17</v>
      </c>
      <c r="F941" s="167">
        <v>1.8</v>
      </c>
      <c r="G941" s="167">
        <v>1.2</v>
      </c>
      <c r="H941" s="193">
        <f>-G941*F941*3</f>
        <v>-6.48</v>
      </c>
    </row>
    <row r="942" spans="2:8" s="42" customFormat="1" ht="15" x14ac:dyDescent="0.25">
      <c r="B942" s="654"/>
      <c r="C942" s="655"/>
      <c r="D942" s="40" t="s">
        <v>725</v>
      </c>
      <c r="E942" s="140" t="s">
        <v>17</v>
      </c>
      <c r="F942" s="167">
        <f>2.65*2+4.75*2</f>
        <v>14.8</v>
      </c>
      <c r="G942" s="167">
        <v>1.8</v>
      </c>
      <c r="H942" s="193">
        <f>G942*F942</f>
        <v>26.64</v>
      </c>
    </row>
    <row r="943" spans="2:8" s="42" customFormat="1" ht="15" x14ac:dyDescent="0.25">
      <c r="B943" s="654"/>
      <c r="C943" s="655"/>
      <c r="D943" s="40" t="s">
        <v>760</v>
      </c>
      <c r="E943" s="140" t="s">
        <v>17</v>
      </c>
      <c r="F943" s="167">
        <v>0.8</v>
      </c>
      <c r="G943" s="167">
        <v>1.6</v>
      </c>
      <c r="H943" s="193">
        <f>-G943*F943</f>
        <v>-1.2800000000000002</v>
      </c>
    </row>
    <row r="944" spans="2:8" s="42" customFormat="1" ht="15" x14ac:dyDescent="0.25">
      <c r="B944" s="654"/>
      <c r="C944" s="655"/>
      <c r="D944" s="40" t="s">
        <v>761</v>
      </c>
      <c r="E944" s="140" t="s">
        <v>17</v>
      </c>
      <c r="F944" s="167">
        <v>0.9</v>
      </c>
      <c r="G944" s="167">
        <v>2.1</v>
      </c>
      <c r="H944" s="193">
        <f>-G944*F944</f>
        <v>-1.8900000000000001</v>
      </c>
    </row>
    <row r="945" spans="2:8" s="42" customFormat="1" ht="15" x14ac:dyDescent="0.25">
      <c r="B945" s="654"/>
      <c r="C945" s="655"/>
      <c r="D945" s="40" t="s">
        <v>727</v>
      </c>
      <c r="E945" s="140" t="s">
        <v>17</v>
      </c>
      <c r="F945" s="167">
        <f>2.65*2+4.75*2</f>
        <v>14.8</v>
      </c>
      <c r="G945" s="167">
        <v>1.8</v>
      </c>
      <c r="H945" s="193">
        <f>G945*F945</f>
        <v>26.64</v>
      </c>
    </row>
    <row r="946" spans="2:8" s="42" customFormat="1" ht="15" x14ac:dyDescent="0.25">
      <c r="B946" s="654"/>
      <c r="C946" s="655"/>
      <c r="D946" s="40" t="s">
        <v>760</v>
      </c>
      <c r="E946" s="140" t="s">
        <v>17</v>
      </c>
      <c r="F946" s="167">
        <v>0.8</v>
      </c>
      <c r="G946" s="167">
        <v>1.6</v>
      </c>
      <c r="H946" s="193">
        <f>-G946*F946</f>
        <v>-1.2800000000000002</v>
      </c>
    </row>
    <row r="947" spans="2:8" s="42" customFormat="1" ht="15" x14ac:dyDescent="0.25">
      <c r="B947" s="654"/>
      <c r="C947" s="655"/>
      <c r="D947" s="40" t="s">
        <v>761</v>
      </c>
      <c r="E947" s="140" t="s">
        <v>17</v>
      </c>
      <c r="F947" s="167">
        <v>0.9</v>
      </c>
      <c r="G947" s="167">
        <v>2.1</v>
      </c>
      <c r="H947" s="193">
        <f>-G947*F947</f>
        <v>-1.8900000000000001</v>
      </c>
    </row>
    <row r="948" spans="2:8" s="42" customFormat="1" ht="15" x14ac:dyDescent="0.25">
      <c r="B948" s="654"/>
      <c r="C948" s="655"/>
      <c r="D948" s="334" t="s">
        <v>347</v>
      </c>
      <c r="E948" s="140" t="s">
        <v>17</v>
      </c>
      <c r="F948" s="167">
        <f>1.7*2+1.65*2</f>
        <v>6.6999999999999993</v>
      </c>
      <c r="G948" s="167">
        <v>1.8</v>
      </c>
      <c r="H948" s="193">
        <f>G948*F948</f>
        <v>12.059999999999999</v>
      </c>
    </row>
    <row r="949" spans="2:8" s="42" customFormat="1" ht="15" x14ac:dyDescent="0.25">
      <c r="B949" s="654"/>
      <c r="C949" s="655"/>
      <c r="D949" s="40" t="s">
        <v>762</v>
      </c>
      <c r="E949" s="140" t="s">
        <v>17</v>
      </c>
      <c r="F949" s="167">
        <v>1</v>
      </c>
      <c r="G949" s="167">
        <v>2.1</v>
      </c>
      <c r="H949" s="193">
        <f>-G949*F949</f>
        <v>-2.1</v>
      </c>
    </row>
    <row r="950" spans="2:8" s="42" customFormat="1" ht="15" x14ac:dyDescent="0.25">
      <c r="B950" s="654"/>
      <c r="C950" s="655"/>
      <c r="D950" s="40" t="s">
        <v>335</v>
      </c>
      <c r="E950" s="140" t="s">
        <v>17</v>
      </c>
      <c r="F950" s="167">
        <v>10</v>
      </c>
      <c r="G950" s="167">
        <v>1.2</v>
      </c>
      <c r="H950" s="193">
        <f>G950*F950</f>
        <v>12</v>
      </c>
    </row>
    <row r="951" spans="2:8" s="42" customFormat="1" ht="15" x14ac:dyDescent="0.25">
      <c r="B951" s="654"/>
      <c r="C951" s="655"/>
      <c r="D951" s="40" t="s">
        <v>353</v>
      </c>
      <c r="E951" s="140" t="s">
        <v>17</v>
      </c>
      <c r="F951" s="43">
        <f>2.2*2+3.5*2</f>
        <v>11.4</v>
      </c>
      <c r="G951" s="43">
        <v>3</v>
      </c>
      <c r="H951" s="193">
        <f>G951*F951</f>
        <v>34.200000000000003</v>
      </c>
    </row>
    <row r="952" spans="2:8" s="42" customFormat="1" ht="15" x14ac:dyDescent="0.25">
      <c r="B952" s="654"/>
      <c r="C952" s="655"/>
      <c r="D952" s="94" t="s">
        <v>763</v>
      </c>
      <c r="E952" s="140" t="s">
        <v>17</v>
      </c>
      <c r="F952" s="43">
        <f>1.2*1.8+1.5*1</f>
        <v>3.66</v>
      </c>
      <c r="G952" s="43">
        <v>3</v>
      </c>
      <c r="H952" s="193">
        <f>-G952*F952</f>
        <v>-10.98</v>
      </c>
    </row>
    <row r="953" spans="2:8" s="42" customFormat="1" ht="15" x14ac:dyDescent="0.25">
      <c r="B953" s="654"/>
      <c r="C953" s="655"/>
      <c r="D953" s="40" t="s">
        <v>764</v>
      </c>
      <c r="E953" s="140" t="s">
        <v>17</v>
      </c>
      <c r="F953" s="43">
        <f>2.2*2+1.4*2</f>
        <v>7.2</v>
      </c>
      <c r="G953" s="43">
        <v>3</v>
      </c>
      <c r="H953" s="193">
        <f>G953*F953</f>
        <v>21.6</v>
      </c>
    </row>
    <row r="954" spans="2:8" s="42" customFormat="1" ht="15" x14ac:dyDescent="0.25">
      <c r="B954" s="654"/>
      <c r="C954" s="655"/>
      <c r="D954" s="40" t="s">
        <v>764</v>
      </c>
      <c r="E954" s="140" t="s">
        <v>17</v>
      </c>
      <c r="F954" s="43">
        <v>0.6</v>
      </c>
      <c r="G954" s="43">
        <v>0.5</v>
      </c>
      <c r="H954" s="193">
        <f>-G954*F954</f>
        <v>-0.3</v>
      </c>
    </row>
    <row r="955" spans="2:8" s="42" customFormat="1" ht="15" x14ac:dyDescent="0.25">
      <c r="B955" s="654"/>
      <c r="C955" s="655"/>
      <c r="D955" s="40" t="s">
        <v>765</v>
      </c>
      <c r="E955" s="140" t="s">
        <v>17</v>
      </c>
      <c r="F955" s="43">
        <v>0.8</v>
      </c>
      <c r="G955" s="43">
        <v>2.1</v>
      </c>
      <c r="H955" s="193">
        <f>-G955*F955</f>
        <v>-1.6800000000000002</v>
      </c>
    </row>
    <row r="956" spans="2:8" s="42" customFormat="1" ht="15" x14ac:dyDescent="0.25">
      <c r="B956" s="654"/>
      <c r="C956" s="655"/>
      <c r="D956" s="40" t="s">
        <v>569</v>
      </c>
      <c r="E956" s="140" t="s">
        <v>17</v>
      </c>
      <c r="F956" s="43">
        <f>2.2*2+1.4*2</f>
        <v>7.2</v>
      </c>
      <c r="G956" s="43">
        <v>3</v>
      </c>
      <c r="H956" s="193">
        <f>G956*F956</f>
        <v>21.6</v>
      </c>
    </row>
    <row r="957" spans="2:8" s="42" customFormat="1" ht="15" x14ac:dyDescent="0.25">
      <c r="B957" s="654"/>
      <c r="C957" s="655"/>
      <c r="D957" s="40" t="s">
        <v>764</v>
      </c>
      <c r="E957" s="140" t="s">
        <v>17</v>
      </c>
      <c r="F957" s="43">
        <v>0.6</v>
      </c>
      <c r="G957" s="43">
        <v>0.5</v>
      </c>
      <c r="H957" s="193">
        <f>-G957*F957</f>
        <v>-0.3</v>
      </c>
    </row>
    <row r="958" spans="2:8" s="42" customFormat="1" ht="15" x14ac:dyDescent="0.25">
      <c r="B958" s="654"/>
      <c r="C958" s="655"/>
      <c r="D958" s="98" t="s">
        <v>766</v>
      </c>
      <c r="E958" s="171" t="s">
        <v>17</v>
      </c>
      <c r="F958" s="43">
        <v>0.7</v>
      </c>
      <c r="G958" s="43">
        <v>2.1</v>
      </c>
      <c r="H958" s="193">
        <f>-G958*F958</f>
        <v>-1.47</v>
      </c>
    </row>
    <row r="959" spans="2:8" s="42" customFormat="1" ht="15" x14ac:dyDescent="0.25">
      <c r="B959" s="654"/>
      <c r="C959" s="655"/>
      <c r="D959" s="40" t="s">
        <v>572</v>
      </c>
      <c r="E959" s="140" t="s">
        <v>17</v>
      </c>
      <c r="F959" s="43">
        <f>1.2*2+2*2</f>
        <v>6.4</v>
      </c>
      <c r="G959" s="43">
        <v>3</v>
      </c>
      <c r="H959" s="193">
        <f>G959*F959</f>
        <v>19.200000000000003</v>
      </c>
    </row>
    <row r="960" spans="2:8" s="42" customFormat="1" ht="15" x14ac:dyDescent="0.25">
      <c r="B960" s="654"/>
      <c r="C960" s="655"/>
      <c r="D960" s="40" t="s">
        <v>767</v>
      </c>
      <c r="E960" s="140" t="s">
        <v>17</v>
      </c>
      <c r="F960" s="43">
        <v>1.2</v>
      </c>
      <c r="G960" s="43">
        <v>1.2</v>
      </c>
      <c r="H960" s="193">
        <f>-G960*F960</f>
        <v>-1.44</v>
      </c>
    </row>
    <row r="961" spans="2:8" s="42" customFormat="1" ht="15" x14ac:dyDescent="0.25">
      <c r="B961" s="654"/>
      <c r="C961" s="655"/>
      <c r="D961" s="40" t="s">
        <v>768</v>
      </c>
      <c r="E961" s="140" t="s">
        <v>17</v>
      </c>
      <c r="F961" s="43">
        <v>0.8</v>
      </c>
      <c r="G961" s="43">
        <v>2.1</v>
      </c>
      <c r="H961" s="193">
        <f>-G961*F961*2</f>
        <v>-3.3600000000000003</v>
      </c>
    </row>
    <row r="962" spans="2:8" s="42" customFormat="1" ht="15" x14ac:dyDescent="0.2">
      <c r="B962" s="654"/>
      <c r="C962" s="655"/>
      <c r="D962" s="100" t="s">
        <v>331</v>
      </c>
      <c r="E962" s="140" t="s">
        <v>17</v>
      </c>
      <c r="F962" s="43">
        <v>8.8000000000000007</v>
      </c>
      <c r="G962" s="43">
        <v>1.8</v>
      </c>
      <c r="H962" s="193">
        <f>G962*F962</f>
        <v>15.840000000000002</v>
      </c>
    </row>
    <row r="963" spans="2:8" s="42" customFormat="1" ht="15" x14ac:dyDescent="0.2">
      <c r="B963" s="654"/>
      <c r="C963" s="655"/>
      <c r="D963" s="100" t="s">
        <v>28</v>
      </c>
      <c r="E963" s="140" t="s">
        <v>17</v>
      </c>
      <c r="F963" s="43">
        <f>4.7*2+6.3*2</f>
        <v>22</v>
      </c>
      <c r="G963" s="43">
        <v>1.2</v>
      </c>
      <c r="H963" s="193">
        <f>G963*F963</f>
        <v>26.4</v>
      </c>
    </row>
    <row r="964" spans="2:8" s="42" customFormat="1" ht="15" x14ac:dyDescent="0.2">
      <c r="B964" s="654"/>
      <c r="C964" s="655"/>
      <c r="D964" s="100" t="s">
        <v>759</v>
      </c>
      <c r="E964" s="140" t="s">
        <v>17</v>
      </c>
      <c r="F964" s="43">
        <v>1.8</v>
      </c>
      <c r="G964" s="43">
        <v>1.2</v>
      </c>
      <c r="H964" s="193">
        <f>-G964*F964*3</f>
        <v>-6.48</v>
      </c>
    </row>
    <row r="965" spans="2:8" s="42" customFormat="1" ht="15" x14ac:dyDescent="0.2">
      <c r="B965" s="654"/>
      <c r="C965" s="655"/>
      <c r="D965" s="100" t="s">
        <v>769</v>
      </c>
      <c r="E965" s="140" t="s">
        <v>17</v>
      </c>
      <c r="F965" s="43">
        <v>0.9</v>
      </c>
      <c r="G965" s="43">
        <v>2.1</v>
      </c>
      <c r="H965" s="193">
        <f>-G965*F965</f>
        <v>-1.8900000000000001</v>
      </c>
    </row>
    <row r="966" spans="2:8" s="42" customFormat="1" ht="15" x14ac:dyDescent="0.2">
      <c r="B966" s="654"/>
      <c r="C966" s="655"/>
      <c r="D966" s="100" t="s">
        <v>21</v>
      </c>
      <c r="E966" s="140" t="s">
        <v>17</v>
      </c>
      <c r="F966" s="43">
        <f>4.7*2+4.7*2</f>
        <v>18.8</v>
      </c>
      <c r="G966" s="43">
        <v>1.2</v>
      </c>
      <c r="H966" s="193">
        <f>G966*F966</f>
        <v>22.56</v>
      </c>
    </row>
    <row r="967" spans="2:8" s="42" customFormat="1" ht="15" x14ac:dyDescent="0.2">
      <c r="B967" s="654"/>
      <c r="C967" s="655"/>
      <c r="D967" s="100" t="s">
        <v>759</v>
      </c>
      <c r="E967" s="140" t="s">
        <v>17</v>
      </c>
      <c r="F967" s="43">
        <v>1.8</v>
      </c>
      <c r="G967" s="43">
        <v>1.2</v>
      </c>
      <c r="H967" s="193">
        <f>-G967*F967*3</f>
        <v>-6.48</v>
      </c>
    </row>
    <row r="968" spans="2:8" s="42" customFormat="1" ht="15" x14ac:dyDescent="0.2">
      <c r="B968" s="654"/>
      <c r="C968" s="655"/>
      <c r="D968" s="100" t="s">
        <v>770</v>
      </c>
      <c r="E968" s="140" t="s">
        <v>17</v>
      </c>
      <c r="F968" s="43">
        <v>0.9</v>
      </c>
      <c r="G968" s="43">
        <v>2.1</v>
      </c>
      <c r="H968" s="193">
        <f>-G968*F968</f>
        <v>-1.8900000000000001</v>
      </c>
    </row>
    <row r="969" spans="2:8" s="42" customFormat="1" ht="15" x14ac:dyDescent="0.2">
      <c r="B969" s="654"/>
      <c r="C969" s="655"/>
      <c r="D969" s="100" t="s">
        <v>22</v>
      </c>
      <c r="E969" s="140" t="s">
        <v>17</v>
      </c>
      <c r="F969" s="43">
        <f>4.9*2+6.5*2</f>
        <v>22.8</v>
      </c>
      <c r="G969" s="43">
        <v>1.2</v>
      </c>
      <c r="H969" s="193">
        <f>G969*F969</f>
        <v>27.36</v>
      </c>
    </row>
    <row r="970" spans="2:8" s="42" customFormat="1" ht="15" x14ac:dyDescent="0.2">
      <c r="B970" s="654"/>
      <c r="C970" s="655"/>
      <c r="D970" s="100" t="s">
        <v>771</v>
      </c>
      <c r="E970" s="140" t="s">
        <v>17</v>
      </c>
      <c r="F970" s="43">
        <v>1.8</v>
      </c>
      <c r="G970" s="43">
        <v>1.2</v>
      </c>
      <c r="H970" s="193">
        <f>-G970*F970</f>
        <v>-2.16</v>
      </c>
    </row>
    <row r="971" spans="2:8" s="42" customFormat="1" ht="15" x14ac:dyDescent="0.2">
      <c r="B971" s="654"/>
      <c r="C971" s="655"/>
      <c r="D971" s="100" t="s">
        <v>769</v>
      </c>
      <c r="E971" s="140" t="s">
        <v>17</v>
      </c>
      <c r="F971" s="43">
        <v>0.9</v>
      </c>
      <c r="G971" s="43">
        <v>2.1</v>
      </c>
      <c r="H971" s="193">
        <f>-G971*F971</f>
        <v>-1.8900000000000001</v>
      </c>
    </row>
    <row r="972" spans="2:8" s="42" customFormat="1" ht="15" x14ac:dyDescent="0.2">
      <c r="B972" s="654"/>
      <c r="C972" s="655"/>
      <c r="D972" s="100" t="s">
        <v>772</v>
      </c>
      <c r="E972" s="140" t="s">
        <v>17</v>
      </c>
      <c r="F972" s="43">
        <v>2</v>
      </c>
      <c r="G972" s="43">
        <v>2.1</v>
      </c>
      <c r="H972" s="193">
        <f>-G972*F972</f>
        <v>-4.2</v>
      </c>
    </row>
    <row r="973" spans="2:8" s="42" customFormat="1" ht="15" x14ac:dyDescent="0.2">
      <c r="B973" s="654"/>
      <c r="C973" s="655"/>
      <c r="D973" s="100" t="s">
        <v>29</v>
      </c>
      <c r="E973" s="140" t="s">
        <v>17</v>
      </c>
      <c r="F973" s="43">
        <f>4.7*2+6.3*2</f>
        <v>22</v>
      </c>
      <c r="G973" s="43">
        <v>1.2</v>
      </c>
      <c r="H973" s="193">
        <f>G973*F973</f>
        <v>26.4</v>
      </c>
    </row>
    <row r="974" spans="2:8" s="42" customFormat="1" ht="15" x14ac:dyDescent="0.2">
      <c r="B974" s="654"/>
      <c r="C974" s="655"/>
      <c r="D974" s="100" t="s">
        <v>771</v>
      </c>
      <c r="E974" s="140" t="s">
        <v>17</v>
      </c>
      <c r="F974" s="43">
        <v>1.8</v>
      </c>
      <c r="G974" s="43">
        <v>1.2</v>
      </c>
      <c r="H974" s="193">
        <f>-G974*F974</f>
        <v>-2.16</v>
      </c>
    </row>
    <row r="975" spans="2:8" s="42" customFormat="1" ht="15" x14ac:dyDescent="0.2">
      <c r="B975" s="654"/>
      <c r="C975" s="655"/>
      <c r="D975" s="100" t="s">
        <v>773</v>
      </c>
      <c r="E975" s="140" t="s">
        <v>17</v>
      </c>
      <c r="F975" s="43">
        <v>0.6</v>
      </c>
      <c r="G975" s="43">
        <v>1.8</v>
      </c>
      <c r="H975" s="193">
        <f>-G975*F975*2</f>
        <v>-2.16</v>
      </c>
    </row>
    <row r="976" spans="2:8" s="42" customFormat="1" ht="15" x14ac:dyDescent="0.2">
      <c r="B976" s="654"/>
      <c r="C976" s="655"/>
      <c r="D976" s="100" t="s">
        <v>769</v>
      </c>
      <c r="E976" s="140" t="s">
        <v>17</v>
      </c>
      <c r="F976" s="43">
        <v>0.9</v>
      </c>
      <c r="G976" s="43">
        <v>2.1</v>
      </c>
      <c r="H976" s="193">
        <f>-G976*F976</f>
        <v>-1.8900000000000001</v>
      </c>
    </row>
    <row r="977" spans="1:8" s="42" customFormat="1" ht="15" x14ac:dyDescent="0.2">
      <c r="B977" s="654"/>
      <c r="C977" s="655"/>
      <c r="D977" s="100" t="s">
        <v>772</v>
      </c>
      <c r="E977" s="140" t="s">
        <v>17</v>
      </c>
      <c r="F977" s="43">
        <v>2</v>
      </c>
      <c r="G977" s="43">
        <v>2.1</v>
      </c>
      <c r="H977" s="193">
        <f>-G977*F977</f>
        <v>-4.2</v>
      </c>
    </row>
    <row r="978" spans="1:8" s="42" customFormat="1" ht="15" x14ac:dyDescent="0.2">
      <c r="B978" s="654"/>
      <c r="C978" s="655"/>
      <c r="D978" s="100" t="s">
        <v>613</v>
      </c>
      <c r="E978" s="140" t="s">
        <v>17</v>
      </c>
      <c r="F978" s="43">
        <f>7.25*2+4.9*2</f>
        <v>24.3</v>
      </c>
      <c r="G978" s="43">
        <v>1.2</v>
      </c>
      <c r="H978" s="193">
        <f>G978*F978</f>
        <v>29.16</v>
      </c>
    </row>
    <row r="979" spans="1:8" s="42" customFormat="1" ht="15" x14ac:dyDescent="0.2">
      <c r="B979" s="654"/>
      <c r="C979" s="655"/>
      <c r="D979" s="100" t="s">
        <v>771</v>
      </c>
      <c r="E979" s="140" t="s">
        <v>17</v>
      </c>
      <c r="F979" s="43">
        <v>1.8</v>
      </c>
      <c r="G979" s="43">
        <v>1.2</v>
      </c>
      <c r="H979" s="193">
        <f>-G979*F979</f>
        <v>-2.16</v>
      </c>
    </row>
    <row r="980" spans="1:8" s="42" customFormat="1" ht="15" x14ac:dyDescent="0.2">
      <c r="B980" s="654"/>
      <c r="C980" s="655"/>
      <c r="D980" s="100" t="s">
        <v>773</v>
      </c>
      <c r="E980" s="140" t="s">
        <v>17</v>
      </c>
      <c r="F980" s="43">
        <v>0.6</v>
      </c>
      <c r="G980" s="43">
        <v>1.8</v>
      </c>
      <c r="H980" s="193">
        <f>-G980*F980*2</f>
        <v>-2.16</v>
      </c>
    </row>
    <row r="981" spans="1:8" s="42" customFormat="1" ht="15" x14ac:dyDescent="0.2">
      <c r="B981" s="654"/>
      <c r="C981" s="655"/>
      <c r="D981" s="100" t="s">
        <v>774</v>
      </c>
      <c r="E981" s="140" t="s">
        <v>17</v>
      </c>
      <c r="F981" s="43">
        <v>0.9</v>
      </c>
      <c r="G981" s="43">
        <v>2.1</v>
      </c>
      <c r="H981" s="193">
        <f>-G981*F981</f>
        <v>-1.8900000000000001</v>
      </c>
    </row>
    <row r="982" spans="1:8" s="42" customFormat="1" ht="15" x14ac:dyDescent="0.25">
      <c r="B982" s="654"/>
      <c r="C982" s="655"/>
      <c r="D982" s="363" t="s">
        <v>30</v>
      </c>
      <c r="E982" s="140" t="s">
        <v>17</v>
      </c>
      <c r="F982" s="140">
        <f>3.5*2+4.9*2</f>
        <v>16.8</v>
      </c>
      <c r="G982" s="140">
        <v>1.8</v>
      </c>
      <c r="H982" s="193">
        <f>G982*F982</f>
        <v>30.240000000000002</v>
      </c>
    </row>
    <row r="983" spans="1:8" s="42" customFormat="1" ht="15" x14ac:dyDescent="0.25">
      <c r="B983" s="654"/>
      <c r="C983" s="655"/>
      <c r="D983" s="41" t="s">
        <v>775</v>
      </c>
      <c r="E983" s="140" t="s">
        <v>17</v>
      </c>
      <c r="F983" s="347">
        <v>2</v>
      </c>
      <c r="G983" s="43">
        <v>2.1</v>
      </c>
      <c r="H983" s="193">
        <f>-G983*F983</f>
        <v>-4.2</v>
      </c>
    </row>
    <row r="984" spans="1:8" s="42" customFormat="1" ht="15.75" x14ac:dyDescent="0.25">
      <c r="B984" s="654"/>
      <c r="C984" s="655"/>
      <c r="D984" s="378" t="s">
        <v>583</v>
      </c>
      <c r="E984" s="379" t="s">
        <v>17</v>
      </c>
      <c r="F984" s="380" t="s">
        <v>27</v>
      </c>
      <c r="G984" s="380" t="s">
        <v>40</v>
      </c>
      <c r="H984" s="381">
        <f>SUM(H985:H986)</f>
        <v>2.8440000000000003</v>
      </c>
    </row>
    <row r="985" spans="1:8" s="42" customFormat="1" ht="15" x14ac:dyDescent="0.25">
      <c r="B985" s="654"/>
      <c r="C985" s="655"/>
      <c r="D985" s="450" t="s">
        <v>584</v>
      </c>
      <c r="E985" s="44" t="s">
        <v>17</v>
      </c>
      <c r="F985" s="452">
        <v>2</v>
      </c>
      <c r="G985" s="452">
        <v>0.9</v>
      </c>
      <c r="H985" s="453">
        <f>F985*G985</f>
        <v>1.8</v>
      </c>
    </row>
    <row r="986" spans="1:8" s="42" customFormat="1" ht="15" x14ac:dyDescent="0.25">
      <c r="B986" s="656"/>
      <c r="C986" s="657"/>
      <c r="D986" s="451" t="s">
        <v>776</v>
      </c>
      <c r="E986" s="44" t="s">
        <v>17</v>
      </c>
      <c r="F986" s="452">
        <v>0.57999999999999996</v>
      </c>
      <c r="G986" s="452">
        <v>0.9</v>
      </c>
      <c r="H986" s="453">
        <f>2*F986*G986</f>
        <v>1.044</v>
      </c>
    </row>
    <row r="987" spans="1:8" s="89" customFormat="1" ht="15.6" customHeight="1" x14ac:dyDescent="0.25">
      <c r="A987" s="42"/>
      <c r="B987" s="598" t="s">
        <v>777</v>
      </c>
      <c r="C987" s="442">
        <v>200101</v>
      </c>
      <c r="D987" s="48" t="s">
        <v>778</v>
      </c>
      <c r="E987" s="99" t="s">
        <v>17</v>
      </c>
      <c r="F987" s="164" t="s">
        <v>27</v>
      </c>
      <c r="G987" s="164" t="s">
        <v>40</v>
      </c>
      <c r="H987" s="192">
        <f>SUM(H988:H1035)</f>
        <v>1418.2399999999993</v>
      </c>
    </row>
    <row r="988" spans="1:8" s="42" customFormat="1" ht="15" x14ac:dyDescent="0.25">
      <c r="B988" s="652"/>
      <c r="C988" s="673"/>
      <c r="D988" s="40" t="s">
        <v>64</v>
      </c>
      <c r="E988" s="140" t="s">
        <v>17</v>
      </c>
      <c r="F988" s="167">
        <f>7.55*2+5.25*2</f>
        <v>25.6</v>
      </c>
      <c r="G988" s="167">
        <v>3</v>
      </c>
      <c r="H988" s="193">
        <f>G988*F988*2</f>
        <v>153.60000000000002</v>
      </c>
    </row>
    <row r="989" spans="1:8" s="42" customFormat="1" ht="15" x14ac:dyDescent="0.25">
      <c r="B989" s="654"/>
      <c r="C989" s="675"/>
      <c r="D989" s="40" t="s">
        <v>759</v>
      </c>
      <c r="E989" s="140" t="s">
        <v>17</v>
      </c>
      <c r="F989" s="167">
        <v>1.8</v>
      </c>
      <c r="G989" s="167">
        <v>1.2</v>
      </c>
      <c r="H989" s="193">
        <f>-G989*F989*3</f>
        <v>-6.48</v>
      </c>
    </row>
    <row r="990" spans="1:8" s="42" customFormat="1" ht="15" x14ac:dyDescent="0.25">
      <c r="A990" s="89"/>
      <c r="B990" s="654"/>
      <c r="C990" s="675"/>
      <c r="D990" s="40" t="s">
        <v>725</v>
      </c>
      <c r="E990" s="140" t="s">
        <v>17</v>
      </c>
      <c r="F990" s="167">
        <f>2.65*2+4.75*2</f>
        <v>14.8</v>
      </c>
      <c r="G990" s="167">
        <v>3</v>
      </c>
      <c r="H990" s="193">
        <f>G990*F990*2</f>
        <v>88.800000000000011</v>
      </c>
    </row>
    <row r="991" spans="1:8" s="89" customFormat="1" ht="15" x14ac:dyDescent="0.25">
      <c r="A991" s="42"/>
      <c r="B991" s="654"/>
      <c r="C991" s="675"/>
      <c r="D991" s="40" t="s">
        <v>760</v>
      </c>
      <c r="E991" s="140" t="s">
        <v>17</v>
      </c>
      <c r="F991" s="167">
        <v>0.8</v>
      </c>
      <c r="G991" s="167">
        <v>1.6</v>
      </c>
      <c r="H991" s="193">
        <f>-G991*F991</f>
        <v>-1.2800000000000002</v>
      </c>
    </row>
    <row r="992" spans="1:8" s="42" customFormat="1" ht="15" x14ac:dyDescent="0.25">
      <c r="B992" s="654"/>
      <c r="C992" s="675"/>
      <c r="D992" s="40" t="s">
        <v>761</v>
      </c>
      <c r="E992" s="140" t="s">
        <v>17</v>
      </c>
      <c r="F992" s="167">
        <v>0.9</v>
      </c>
      <c r="G992" s="167">
        <v>2.1</v>
      </c>
      <c r="H992" s="193">
        <f>-G992*F992</f>
        <v>-1.8900000000000001</v>
      </c>
    </row>
    <row r="993" spans="1:8" s="42" customFormat="1" ht="15" x14ac:dyDescent="0.25">
      <c r="B993" s="654"/>
      <c r="C993" s="675"/>
      <c r="D993" s="40" t="s">
        <v>727</v>
      </c>
      <c r="E993" s="140" t="s">
        <v>17</v>
      </c>
      <c r="F993" s="167">
        <f>2.65*2+4.75*2</f>
        <v>14.8</v>
      </c>
      <c r="G993" s="167">
        <v>3</v>
      </c>
      <c r="H993" s="193">
        <f>G993*F993*2</f>
        <v>88.800000000000011</v>
      </c>
    </row>
    <row r="994" spans="1:8" s="42" customFormat="1" ht="15" x14ac:dyDescent="0.25">
      <c r="A994" s="89"/>
      <c r="B994" s="654"/>
      <c r="C994" s="675"/>
      <c r="D994" s="40" t="s">
        <v>760</v>
      </c>
      <c r="E994" s="140" t="s">
        <v>17</v>
      </c>
      <c r="F994" s="167">
        <v>0.8</v>
      </c>
      <c r="G994" s="167">
        <v>1.6</v>
      </c>
      <c r="H994" s="193">
        <f>-G994*F994</f>
        <v>-1.2800000000000002</v>
      </c>
    </row>
    <row r="995" spans="1:8" s="42" customFormat="1" ht="15" x14ac:dyDescent="0.25">
      <c r="B995" s="654"/>
      <c r="C995" s="675"/>
      <c r="D995" s="40" t="s">
        <v>761</v>
      </c>
      <c r="E995" s="140" t="s">
        <v>17</v>
      </c>
      <c r="F995" s="167">
        <v>0.9</v>
      </c>
      <c r="G995" s="167">
        <v>2.1</v>
      </c>
      <c r="H995" s="193">
        <f>-G995*F995</f>
        <v>-1.8900000000000001</v>
      </c>
    </row>
    <row r="996" spans="1:8" s="42" customFormat="1" ht="15" x14ac:dyDescent="0.25">
      <c r="B996" s="654"/>
      <c r="C996" s="675"/>
      <c r="D996" s="40" t="s">
        <v>347</v>
      </c>
      <c r="E996" s="140" t="s">
        <v>17</v>
      </c>
      <c r="F996" s="167">
        <f>1.7*2+1.65*2</f>
        <v>6.6999999999999993</v>
      </c>
      <c r="G996" s="167">
        <v>3</v>
      </c>
      <c r="H996" s="193">
        <f>G996*F996</f>
        <v>20.099999999999998</v>
      </c>
    </row>
    <row r="997" spans="1:8" s="42" customFormat="1" ht="15" x14ac:dyDescent="0.25">
      <c r="B997" s="654"/>
      <c r="C997" s="675"/>
      <c r="D997" s="40" t="s">
        <v>762</v>
      </c>
      <c r="E997" s="140" t="s">
        <v>17</v>
      </c>
      <c r="F997" s="167">
        <v>1</v>
      </c>
      <c r="G997" s="167">
        <v>2.1</v>
      </c>
      <c r="H997" s="193">
        <f>-G997*F997</f>
        <v>-2.1</v>
      </c>
    </row>
    <row r="998" spans="1:8" s="42" customFormat="1" ht="15" x14ac:dyDescent="0.25">
      <c r="B998" s="654"/>
      <c r="C998" s="675"/>
      <c r="D998" s="40" t="s">
        <v>335</v>
      </c>
      <c r="E998" s="140" t="s">
        <v>17</v>
      </c>
      <c r="F998" s="167">
        <v>10</v>
      </c>
      <c r="G998" s="167">
        <v>3</v>
      </c>
      <c r="H998" s="193">
        <f>G998*F998</f>
        <v>30</v>
      </c>
    </row>
    <row r="999" spans="1:8" s="42" customFormat="1" ht="15" x14ac:dyDescent="0.25">
      <c r="B999" s="654"/>
      <c r="C999" s="675"/>
      <c r="D999" s="40" t="s">
        <v>353</v>
      </c>
      <c r="E999" s="140" t="s">
        <v>17</v>
      </c>
      <c r="F999" s="43">
        <f>2.2*2+3.5*2</f>
        <v>11.4</v>
      </c>
      <c r="G999" s="43">
        <v>3</v>
      </c>
      <c r="H999" s="193">
        <f>G999*F999*2</f>
        <v>68.400000000000006</v>
      </c>
    </row>
    <row r="1000" spans="1:8" s="42" customFormat="1" ht="15" x14ac:dyDescent="0.25">
      <c r="B1000" s="654"/>
      <c r="C1000" s="675"/>
      <c r="D1000" s="94" t="s">
        <v>763</v>
      </c>
      <c r="E1000" s="140" t="s">
        <v>17</v>
      </c>
      <c r="F1000" s="43">
        <f>1.2*1.8+1.5*1</f>
        <v>3.66</v>
      </c>
      <c r="G1000" s="43">
        <v>3</v>
      </c>
      <c r="H1000" s="193">
        <f>-G1000*F1000</f>
        <v>-10.98</v>
      </c>
    </row>
    <row r="1001" spans="1:8" s="42" customFormat="1" ht="15" x14ac:dyDescent="0.25">
      <c r="B1001" s="654"/>
      <c r="C1001" s="675"/>
      <c r="D1001" s="40" t="s">
        <v>570</v>
      </c>
      <c r="E1001" s="140" t="s">
        <v>17</v>
      </c>
      <c r="F1001" s="43">
        <f>2.2*2+1.4*2</f>
        <v>7.2</v>
      </c>
      <c r="G1001" s="43">
        <v>3</v>
      </c>
      <c r="H1001" s="193">
        <f>G1001*F1001*2</f>
        <v>43.2</v>
      </c>
    </row>
    <row r="1002" spans="1:8" s="42" customFormat="1" ht="15" x14ac:dyDescent="0.25">
      <c r="B1002" s="654"/>
      <c r="C1002" s="675"/>
      <c r="D1002" s="40" t="s">
        <v>764</v>
      </c>
      <c r="E1002" s="140" t="s">
        <v>17</v>
      </c>
      <c r="F1002" s="43">
        <v>0.6</v>
      </c>
      <c r="G1002" s="43">
        <v>0.5</v>
      </c>
      <c r="H1002" s="193">
        <f>-G1002*F1002</f>
        <v>-0.3</v>
      </c>
    </row>
    <row r="1003" spans="1:8" s="42" customFormat="1" ht="15" x14ac:dyDescent="0.25">
      <c r="B1003" s="654"/>
      <c r="C1003" s="675"/>
      <c r="D1003" s="40" t="s">
        <v>779</v>
      </c>
      <c r="E1003" s="140" t="s">
        <v>17</v>
      </c>
      <c r="F1003" s="43">
        <v>0.7</v>
      </c>
      <c r="G1003" s="43">
        <v>2.1</v>
      </c>
      <c r="H1003" s="193">
        <f>-G1003*F1003</f>
        <v>-1.47</v>
      </c>
    </row>
    <row r="1004" spans="1:8" s="42" customFormat="1" ht="15" x14ac:dyDescent="0.25">
      <c r="B1004" s="654"/>
      <c r="C1004" s="675"/>
      <c r="D1004" s="40" t="s">
        <v>569</v>
      </c>
      <c r="E1004" s="140" t="s">
        <v>17</v>
      </c>
      <c r="F1004" s="43">
        <f>2.2*2+1.4*2</f>
        <v>7.2</v>
      </c>
      <c r="G1004" s="43">
        <v>3</v>
      </c>
      <c r="H1004" s="193">
        <f>G1004*F1004*2</f>
        <v>43.2</v>
      </c>
    </row>
    <row r="1005" spans="1:8" s="42" customFormat="1" ht="15" x14ac:dyDescent="0.25">
      <c r="B1005" s="654"/>
      <c r="C1005" s="675"/>
      <c r="D1005" s="40" t="s">
        <v>764</v>
      </c>
      <c r="E1005" s="140" t="s">
        <v>17</v>
      </c>
      <c r="F1005" s="43">
        <v>0.6</v>
      </c>
      <c r="G1005" s="43">
        <v>0.5</v>
      </c>
      <c r="H1005" s="193">
        <f>-G1005*F1005</f>
        <v>-0.3</v>
      </c>
    </row>
    <row r="1006" spans="1:8" s="42" customFormat="1" ht="15" x14ac:dyDescent="0.25">
      <c r="B1006" s="654"/>
      <c r="C1006" s="675"/>
      <c r="D1006" s="98" t="s">
        <v>779</v>
      </c>
      <c r="E1006" s="171" t="s">
        <v>17</v>
      </c>
      <c r="F1006" s="43">
        <v>0.7</v>
      </c>
      <c r="G1006" s="43">
        <v>2.1</v>
      </c>
      <c r="H1006" s="193">
        <f>-G1006*F1006</f>
        <v>-1.47</v>
      </c>
    </row>
    <row r="1007" spans="1:8" s="42" customFormat="1" ht="15" x14ac:dyDescent="0.25">
      <c r="B1007" s="654"/>
      <c r="C1007" s="675"/>
      <c r="D1007" s="40" t="s">
        <v>572</v>
      </c>
      <c r="E1007" s="140" t="s">
        <v>17</v>
      </c>
      <c r="F1007" s="43">
        <f>1.2*2+2*2</f>
        <v>6.4</v>
      </c>
      <c r="G1007" s="43">
        <v>3</v>
      </c>
      <c r="H1007" s="193">
        <f>G1007*F1007*2</f>
        <v>38.400000000000006</v>
      </c>
    </row>
    <row r="1008" spans="1:8" s="42" customFormat="1" ht="15" x14ac:dyDescent="0.25">
      <c r="B1008" s="654"/>
      <c r="C1008" s="675"/>
      <c r="D1008" s="40" t="s">
        <v>767</v>
      </c>
      <c r="E1008" s="140" t="s">
        <v>17</v>
      </c>
      <c r="F1008" s="43">
        <v>1.2</v>
      </c>
      <c r="G1008" s="43">
        <v>1.2</v>
      </c>
      <c r="H1008" s="193">
        <f>-G1008*F1008</f>
        <v>-1.44</v>
      </c>
    </row>
    <row r="1009" spans="2:8" s="42" customFormat="1" ht="15" x14ac:dyDescent="0.25">
      <c r="B1009" s="654"/>
      <c r="C1009" s="675"/>
      <c r="D1009" s="40" t="s">
        <v>768</v>
      </c>
      <c r="E1009" s="140" t="s">
        <v>17</v>
      </c>
      <c r="F1009" s="43">
        <v>0.8</v>
      </c>
      <c r="G1009" s="43">
        <v>2.1</v>
      </c>
      <c r="H1009" s="193">
        <f>-G1009*F1009*2</f>
        <v>-3.3600000000000003</v>
      </c>
    </row>
    <row r="1010" spans="2:8" s="42" customFormat="1" ht="15" x14ac:dyDescent="0.2">
      <c r="B1010" s="654"/>
      <c r="C1010" s="675"/>
      <c r="D1010" s="100" t="s">
        <v>331</v>
      </c>
      <c r="E1010" s="140" t="s">
        <v>17</v>
      </c>
      <c r="F1010" s="43">
        <v>8.8000000000000007</v>
      </c>
      <c r="G1010" s="43">
        <v>3</v>
      </c>
      <c r="H1010" s="193">
        <f>G1010*F1010*2</f>
        <v>52.800000000000004</v>
      </c>
    </row>
    <row r="1011" spans="2:8" s="42" customFormat="1" ht="15" x14ac:dyDescent="0.2">
      <c r="B1011" s="654"/>
      <c r="C1011" s="675"/>
      <c r="D1011" s="100" t="s">
        <v>28</v>
      </c>
      <c r="E1011" s="140" t="s">
        <v>17</v>
      </c>
      <c r="F1011" s="43">
        <f>4.7*2+6.3*2</f>
        <v>22</v>
      </c>
      <c r="G1011" s="43">
        <v>3</v>
      </c>
      <c r="H1011" s="193">
        <f>G1011*F1011*2</f>
        <v>132</v>
      </c>
    </row>
    <row r="1012" spans="2:8" s="42" customFormat="1" ht="15" x14ac:dyDescent="0.2">
      <c r="B1012" s="654"/>
      <c r="C1012" s="675"/>
      <c r="D1012" s="100" t="s">
        <v>759</v>
      </c>
      <c r="E1012" s="140" t="s">
        <v>17</v>
      </c>
      <c r="F1012" s="43">
        <v>1.8</v>
      </c>
      <c r="G1012" s="43">
        <v>1.2</v>
      </c>
      <c r="H1012" s="193">
        <f>-G1012*F1012*3</f>
        <v>-6.48</v>
      </c>
    </row>
    <row r="1013" spans="2:8" s="42" customFormat="1" ht="15" x14ac:dyDescent="0.2">
      <c r="B1013" s="654"/>
      <c r="C1013" s="655"/>
      <c r="D1013" s="336" t="s">
        <v>761</v>
      </c>
      <c r="E1013" s="140" t="s">
        <v>17</v>
      </c>
      <c r="F1013" s="43">
        <v>0.9</v>
      </c>
      <c r="G1013" s="43">
        <v>2.1</v>
      </c>
      <c r="H1013" s="193">
        <f>-G1013*F1013</f>
        <v>-1.8900000000000001</v>
      </c>
    </row>
    <row r="1014" spans="2:8" s="42" customFormat="1" ht="15" x14ac:dyDescent="0.2">
      <c r="B1014" s="654"/>
      <c r="C1014" s="675"/>
      <c r="D1014" s="100" t="s">
        <v>21</v>
      </c>
      <c r="E1014" s="140" t="s">
        <v>17</v>
      </c>
      <c r="F1014" s="43">
        <f>4.7*2+4.7*2</f>
        <v>18.8</v>
      </c>
      <c r="G1014" s="43">
        <v>3</v>
      </c>
      <c r="H1014" s="193">
        <f>G1014*F1014*2</f>
        <v>112.80000000000001</v>
      </c>
    </row>
    <row r="1015" spans="2:8" s="42" customFormat="1" ht="15" x14ac:dyDescent="0.2">
      <c r="B1015" s="654"/>
      <c r="C1015" s="675"/>
      <c r="D1015" s="100" t="s">
        <v>759</v>
      </c>
      <c r="E1015" s="140" t="s">
        <v>17</v>
      </c>
      <c r="F1015" s="43">
        <v>1.8</v>
      </c>
      <c r="G1015" s="43">
        <v>1.2</v>
      </c>
      <c r="H1015" s="193">
        <f>-G1015*F1015*3</f>
        <v>-6.48</v>
      </c>
    </row>
    <row r="1016" spans="2:8" s="42" customFormat="1" ht="15" x14ac:dyDescent="0.2">
      <c r="B1016" s="654"/>
      <c r="C1016" s="655"/>
      <c r="D1016" s="336" t="s">
        <v>780</v>
      </c>
      <c r="E1016" s="140" t="s">
        <v>17</v>
      </c>
      <c r="F1016" s="43">
        <v>0.9</v>
      </c>
      <c r="G1016" s="43">
        <v>2.1</v>
      </c>
      <c r="H1016" s="193">
        <f>-G1016*F1016</f>
        <v>-1.8900000000000001</v>
      </c>
    </row>
    <row r="1017" spans="2:8" s="42" customFormat="1" ht="15" x14ac:dyDescent="0.2">
      <c r="B1017" s="654"/>
      <c r="C1017" s="675"/>
      <c r="D1017" s="100" t="s">
        <v>22</v>
      </c>
      <c r="E1017" s="140" t="s">
        <v>17</v>
      </c>
      <c r="F1017" s="43">
        <f>4.9*2+6.5*2</f>
        <v>22.8</v>
      </c>
      <c r="G1017" s="43">
        <v>3</v>
      </c>
      <c r="H1017" s="193">
        <f>G1017*F1017*2</f>
        <v>136.80000000000001</v>
      </c>
    </row>
    <row r="1018" spans="2:8" s="42" customFormat="1" ht="15" x14ac:dyDescent="0.2">
      <c r="B1018" s="654"/>
      <c r="C1018" s="675"/>
      <c r="D1018" s="100" t="s">
        <v>771</v>
      </c>
      <c r="E1018" s="140" t="s">
        <v>17</v>
      </c>
      <c r="F1018" s="43">
        <v>1.8</v>
      </c>
      <c r="G1018" s="43">
        <v>1.2</v>
      </c>
      <c r="H1018" s="193">
        <f>-G1018*F1018</f>
        <v>-2.16</v>
      </c>
    </row>
    <row r="1019" spans="2:8" s="42" customFormat="1" ht="15" x14ac:dyDescent="0.2">
      <c r="B1019" s="654"/>
      <c r="C1019" s="675"/>
      <c r="D1019" s="100" t="s">
        <v>761</v>
      </c>
      <c r="E1019" s="140" t="s">
        <v>17</v>
      </c>
      <c r="F1019" s="43">
        <v>0.9</v>
      </c>
      <c r="G1019" s="43">
        <v>2.1</v>
      </c>
      <c r="H1019" s="193">
        <f>-G1019*F1019</f>
        <v>-1.8900000000000001</v>
      </c>
    </row>
    <row r="1020" spans="2:8" s="42" customFormat="1" ht="15" x14ac:dyDescent="0.2">
      <c r="B1020" s="654"/>
      <c r="C1020" s="655"/>
      <c r="D1020" s="336" t="s">
        <v>781</v>
      </c>
      <c r="E1020" s="140" t="s">
        <v>17</v>
      </c>
      <c r="F1020" s="43">
        <v>2</v>
      </c>
      <c r="G1020" s="43">
        <v>2.1</v>
      </c>
      <c r="H1020" s="193">
        <f>-G1020*F1020</f>
        <v>-4.2</v>
      </c>
    </row>
    <row r="1021" spans="2:8" s="42" customFormat="1" ht="15" x14ac:dyDescent="0.2">
      <c r="B1021" s="654"/>
      <c r="C1021" s="675"/>
      <c r="D1021" s="100" t="s">
        <v>29</v>
      </c>
      <c r="E1021" s="140" t="s">
        <v>17</v>
      </c>
      <c r="F1021" s="43">
        <f>4.7*2+6.3*2</f>
        <v>22</v>
      </c>
      <c r="G1021" s="43">
        <v>3</v>
      </c>
      <c r="H1021" s="193">
        <f>G1021*F1021*2</f>
        <v>132</v>
      </c>
    </row>
    <row r="1022" spans="2:8" s="42" customFormat="1" ht="15" x14ac:dyDescent="0.2">
      <c r="B1022" s="654"/>
      <c r="C1022" s="675"/>
      <c r="D1022" s="100" t="s">
        <v>771</v>
      </c>
      <c r="E1022" s="140" t="s">
        <v>17</v>
      </c>
      <c r="F1022" s="43">
        <v>1.8</v>
      </c>
      <c r="G1022" s="43">
        <v>1.2</v>
      </c>
      <c r="H1022" s="193">
        <f>-G1022*F1022</f>
        <v>-2.16</v>
      </c>
    </row>
    <row r="1023" spans="2:8" s="42" customFormat="1" ht="15" x14ac:dyDescent="0.2">
      <c r="B1023" s="654"/>
      <c r="C1023" s="675"/>
      <c r="D1023" s="100" t="s">
        <v>773</v>
      </c>
      <c r="E1023" s="140" t="s">
        <v>17</v>
      </c>
      <c r="F1023" s="43">
        <v>0.6</v>
      </c>
      <c r="G1023" s="43">
        <v>1.8</v>
      </c>
      <c r="H1023" s="193">
        <f>-G1023*F1023*2</f>
        <v>-2.16</v>
      </c>
    </row>
    <row r="1024" spans="2:8" s="42" customFormat="1" ht="15" x14ac:dyDescent="0.2">
      <c r="B1024" s="654"/>
      <c r="C1024" s="675"/>
      <c r="D1024" s="100" t="s">
        <v>761</v>
      </c>
      <c r="E1024" s="140" t="s">
        <v>17</v>
      </c>
      <c r="F1024" s="43">
        <v>0.9</v>
      </c>
      <c r="G1024" s="43">
        <v>2.1</v>
      </c>
      <c r="H1024" s="193">
        <f>-G1024*F1024</f>
        <v>-1.8900000000000001</v>
      </c>
    </row>
    <row r="1025" spans="2:8" s="42" customFormat="1" ht="15" x14ac:dyDescent="0.2">
      <c r="B1025" s="654"/>
      <c r="C1025" s="655"/>
      <c r="D1025" s="336" t="s">
        <v>781</v>
      </c>
      <c r="E1025" s="140" t="s">
        <v>17</v>
      </c>
      <c r="F1025" s="43">
        <v>2</v>
      </c>
      <c r="G1025" s="43">
        <v>2.1</v>
      </c>
      <c r="H1025" s="193">
        <f>-G1025*F1025</f>
        <v>-4.2</v>
      </c>
    </row>
    <row r="1026" spans="2:8" s="42" customFormat="1" ht="15" x14ac:dyDescent="0.2">
      <c r="B1026" s="654"/>
      <c r="C1026" s="675"/>
      <c r="D1026" s="100" t="s">
        <v>613</v>
      </c>
      <c r="E1026" s="140" t="s">
        <v>17</v>
      </c>
      <c r="F1026" s="43">
        <f>7.25*2+4.9*2</f>
        <v>24.3</v>
      </c>
      <c r="G1026" s="43">
        <v>3</v>
      </c>
      <c r="H1026" s="193">
        <f>G1026*F1026*2</f>
        <v>145.80000000000001</v>
      </c>
    </row>
    <row r="1027" spans="2:8" s="42" customFormat="1" ht="15" x14ac:dyDescent="0.2">
      <c r="B1027" s="654"/>
      <c r="C1027" s="675"/>
      <c r="D1027" s="100" t="s">
        <v>771</v>
      </c>
      <c r="E1027" s="140" t="s">
        <v>17</v>
      </c>
      <c r="F1027" s="43">
        <v>1.8</v>
      </c>
      <c r="G1027" s="43">
        <v>1.2</v>
      </c>
      <c r="H1027" s="193">
        <f>-G1027*F1027</f>
        <v>-2.16</v>
      </c>
    </row>
    <row r="1028" spans="2:8" s="42" customFormat="1" ht="15" x14ac:dyDescent="0.2">
      <c r="B1028" s="654"/>
      <c r="C1028" s="675"/>
      <c r="D1028" s="100" t="s">
        <v>773</v>
      </c>
      <c r="E1028" s="140" t="s">
        <v>17</v>
      </c>
      <c r="F1028" s="43">
        <v>0.6</v>
      </c>
      <c r="G1028" s="43">
        <v>1.8</v>
      </c>
      <c r="H1028" s="193">
        <f>-G1028*F1028*2</f>
        <v>-2.16</v>
      </c>
    </row>
    <row r="1029" spans="2:8" s="42" customFormat="1" ht="15" x14ac:dyDescent="0.2">
      <c r="B1029" s="654"/>
      <c r="C1029" s="655"/>
      <c r="D1029" s="336" t="s">
        <v>761</v>
      </c>
      <c r="E1029" s="140" t="s">
        <v>17</v>
      </c>
      <c r="F1029" s="43">
        <v>0.9</v>
      </c>
      <c r="G1029" s="43">
        <v>2.1</v>
      </c>
      <c r="H1029" s="193">
        <f>-G1029*F1029</f>
        <v>-1.8900000000000001</v>
      </c>
    </row>
    <row r="1030" spans="2:8" s="42" customFormat="1" ht="15" x14ac:dyDescent="0.25">
      <c r="B1030" s="654"/>
      <c r="C1030" s="655"/>
      <c r="D1030" s="364" t="s">
        <v>782</v>
      </c>
      <c r="E1030" s="140" t="s">
        <v>17</v>
      </c>
      <c r="F1030" s="140">
        <f>3.5*2+4.9*2</f>
        <v>16.8</v>
      </c>
      <c r="G1030" s="43">
        <v>3</v>
      </c>
      <c r="H1030" s="193">
        <f>G1030*F1030*2</f>
        <v>100.80000000000001</v>
      </c>
    </row>
    <row r="1031" spans="2:8" s="42" customFormat="1" ht="15" x14ac:dyDescent="0.25">
      <c r="B1031" s="654"/>
      <c r="C1031" s="675"/>
      <c r="D1031" s="41" t="s">
        <v>783</v>
      </c>
      <c r="E1031" s="140" t="s">
        <v>17</v>
      </c>
      <c r="F1031" s="341">
        <v>2</v>
      </c>
      <c r="G1031" s="333">
        <v>2.1</v>
      </c>
      <c r="H1031" s="330">
        <f>G1031*F1031</f>
        <v>4.2</v>
      </c>
    </row>
    <row r="1032" spans="2:8" s="42" customFormat="1" ht="15" x14ac:dyDescent="0.25">
      <c r="B1032" s="654"/>
      <c r="C1032" s="675"/>
      <c r="D1032" s="41" t="s">
        <v>83</v>
      </c>
      <c r="E1032" s="140" t="s">
        <v>17</v>
      </c>
      <c r="F1032" s="344">
        <v>3.2</v>
      </c>
      <c r="G1032" s="345">
        <v>2.7</v>
      </c>
      <c r="H1032" s="193">
        <f>G1032*F1032</f>
        <v>8.64</v>
      </c>
    </row>
    <row r="1033" spans="2:8" s="42" customFormat="1" ht="15" x14ac:dyDescent="0.25">
      <c r="B1033" s="654"/>
      <c r="C1033" s="675"/>
      <c r="D1033" s="41" t="s">
        <v>574</v>
      </c>
      <c r="E1033" s="140" t="s">
        <v>17</v>
      </c>
      <c r="F1033" s="343">
        <v>67.5</v>
      </c>
      <c r="G1033" s="333">
        <v>1</v>
      </c>
      <c r="H1033" s="330">
        <f>F1033</f>
        <v>67.5</v>
      </c>
    </row>
    <row r="1034" spans="2:8" s="42" customFormat="1" ht="15" x14ac:dyDescent="0.25">
      <c r="B1034" s="654"/>
      <c r="C1034" s="675"/>
      <c r="D1034" s="41" t="s">
        <v>573</v>
      </c>
      <c r="E1034" s="140" t="s">
        <v>17</v>
      </c>
      <c r="F1034" s="343">
        <v>16.25</v>
      </c>
      <c r="G1034" s="333">
        <v>1</v>
      </c>
      <c r="H1034" s="330">
        <f>F1034</f>
        <v>16.25</v>
      </c>
    </row>
    <row r="1035" spans="2:8" s="42" customFormat="1" ht="15" x14ac:dyDescent="0.25">
      <c r="B1035" s="656"/>
      <c r="C1035" s="657"/>
      <c r="D1035" s="338" t="s">
        <v>784</v>
      </c>
      <c r="E1035" s="140" t="s">
        <v>17</v>
      </c>
      <c r="F1035" s="346">
        <v>5</v>
      </c>
      <c r="G1035" s="346">
        <v>2</v>
      </c>
      <c r="H1035" s="330">
        <f>F1035*G1035</f>
        <v>10</v>
      </c>
    </row>
    <row r="1036" spans="2:8" s="42" customFormat="1" ht="15.75" x14ac:dyDescent="0.25">
      <c r="B1036" s="598" t="s">
        <v>785</v>
      </c>
      <c r="C1036" s="442">
        <v>200201</v>
      </c>
      <c r="D1036" s="48" t="s">
        <v>786</v>
      </c>
      <c r="E1036" s="99" t="s">
        <v>17</v>
      </c>
      <c r="F1036" s="164" t="s">
        <v>27</v>
      </c>
      <c r="G1036" s="164" t="s">
        <v>35</v>
      </c>
      <c r="H1036" s="192">
        <f>SUM(H1037:H1084)</f>
        <v>1385.7199999999996</v>
      </c>
    </row>
    <row r="1037" spans="2:8" s="42" customFormat="1" ht="15" x14ac:dyDescent="0.25">
      <c r="B1037" s="652"/>
      <c r="C1037" s="673"/>
      <c r="D1037" s="40" t="s">
        <v>64</v>
      </c>
      <c r="E1037" s="140" t="s">
        <v>17</v>
      </c>
      <c r="F1037" s="167">
        <f>7.55*2+5.25*2</f>
        <v>25.6</v>
      </c>
      <c r="G1037" s="167">
        <v>3</v>
      </c>
      <c r="H1037" s="193">
        <f>G1037*F1037*2</f>
        <v>153.60000000000002</v>
      </c>
    </row>
    <row r="1038" spans="2:8" s="42" customFormat="1" ht="15" x14ac:dyDescent="0.25">
      <c r="B1038" s="654"/>
      <c r="C1038" s="675"/>
      <c r="D1038" s="40" t="s">
        <v>759</v>
      </c>
      <c r="E1038" s="140" t="s">
        <v>17</v>
      </c>
      <c r="F1038" s="167">
        <v>1.8</v>
      </c>
      <c r="G1038" s="167">
        <v>1.2</v>
      </c>
      <c r="H1038" s="193">
        <f>-G1038*F1038*3</f>
        <v>-6.48</v>
      </c>
    </row>
    <row r="1039" spans="2:8" s="42" customFormat="1" ht="15" x14ac:dyDescent="0.25">
      <c r="B1039" s="654"/>
      <c r="C1039" s="675"/>
      <c r="D1039" s="40" t="s">
        <v>725</v>
      </c>
      <c r="E1039" s="140" t="s">
        <v>17</v>
      </c>
      <c r="F1039" s="167">
        <f>2.65*2+4.75*2</f>
        <v>14.8</v>
      </c>
      <c r="G1039" s="167">
        <v>3</v>
      </c>
      <c r="H1039" s="193">
        <f>G1039*F1039*2</f>
        <v>88.800000000000011</v>
      </c>
    </row>
    <row r="1040" spans="2:8" s="42" customFormat="1" ht="15" x14ac:dyDescent="0.25">
      <c r="B1040" s="654"/>
      <c r="C1040" s="675"/>
      <c r="D1040" s="40" t="s">
        <v>760</v>
      </c>
      <c r="E1040" s="140" t="s">
        <v>17</v>
      </c>
      <c r="F1040" s="167">
        <v>0.8</v>
      </c>
      <c r="G1040" s="167">
        <v>1.6</v>
      </c>
      <c r="H1040" s="193">
        <f>-G1040*F1040</f>
        <v>-1.2800000000000002</v>
      </c>
    </row>
    <row r="1041" spans="2:8" s="42" customFormat="1" ht="15" x14ac:dyDescent="0.25">
      <c r="B1041" s="654"/>
      <c r="C1041" s="675"/>
      <c r="D1041" s="40" t="s">
        <v>761</v>
      </c>
      <c r="E1041" s="140" t="s">
        <v>17</v>
      </c>
      <c r="F1041" s="167">
        <v>0.9</v>
      </c>
      <c r="G1041" s="167">
        <v>2.1</v>
      </c>
      <c r="H1041" s="193">
        <f>-G1041*F1041</f>
        <v>-1.8900000000000001</v>
      </c>
    </row>
    <row r="1042" spans="2:8" s="42" customFormat="1" ht="15" x14ac:dyDescent="0.25">
      <c r="B1042" s="654"/>
      <c r="C1042" s="675"/>
      <c r="D1042" s="40" t="s">
        <v>727</v>
      </c>
      <c r="E1042" s="208" t="s">
        <v>17</v>
      </c>
      <c r="F1042" s="167">
        <f>2.65*2+4.75*2</f>
        <v>14.8</v>
      </c>
      <c r="G1042" s="167">
        <v>3</v>
      </c>
      <c r="H1042" s="193">
        <f>G1042*F1042*2</f>
        <v>88.800000000000011</v>
      </c>
    </row>
    <row r="1043" spans="2:8" s="42" customFormat="1" ht="15" x14ac:dyDescent="0.25">
      <c r="B1043" s="654"/>
      <c r="C1043" s="675"/>
      <c r="D1043" s="40" t="s">
        <v>760</v>
      </c>
      <c r="E1043" s="208" t="s">
        <v>17</v>
      </c>
      <c r="F1043" s="167">
        <v>0.8</v>
      </c>
      <c r="G1043" s="167">
        <v>1.6</v>
      </c>
      <c r="H1043" s="193">
        <f>-G1043*F1043</f>
        <v>-1.2800000000000002</v>
      </c>
    </row>
    <row r="1044" spans="2:8" s="42" customFormat="1" ht="15" x14ac:dyDescent="0.25">
      <c r="B1044" s="654"/>
      <c r="C1044" s="675"/>
      <c r="D1044" s="40" t="s">
        <v>761</v>
      </c>
      <c r="E1044" s="208" t="s">
        <v>17</v>
      </c>
      <c r="F1044" s="167">
        <v>0.9</v>
      </c>
      <c r="G1044" s="167">
        <v>2.1</v>
      </c>
      <c r="H1044" s="193">
        <f>-G1044*F1044</f>
        <v>-1.8900000000000001</v>
      </c>
    </row>
    <row r="1045" spans="2:8" s="42" customFormat="1" ht="15" x14ac:dyDescent="0.25">
      <c r="B1045" s="654"/>
      <c r="C1045" s="675"/>
      <c r="D1045" s="40" t="s">
        <v>347</v>
      </c>
      <c r="E1045" s="208" t="s">
        <v>17</v>
      </c>
      <c r="F1045" s="167">
        <f>1.7*2+1.65*2</f>
        <v>6.6999999999999993</v>
      </c>
      <c r="G1045" s="167">
        <v>3</v>
      </c>
      <c r="H1045" s="193">
        <f>G1045*F1045</f>
        <v>20.099999999999998</v>
      </c>
    </row>
    <row r="1046" spans="2:8" s="42" customFormat="1" ht="15" x14ac:dyDescent="0.25">
      <c r="B1046" s="654"/>
      <c r="C1046" s="675"/>
      <c r="D1046" s="40" t="s">
        <v>762</v>
      </c>
      <c r="E1046" s="208" t="s">
        <v>17</v>
      </c>
      <c r="F1046" s="167">
        <v>1</v>
      </c>
      <c r="G1046" s="167">
        <v>2.1</v>
      </c>
      <c r="H1046" s="193">
        <f>-G1046*F1046</f>
        <v>-2.1</v>
      </c>
    </row>
    <row r="1047" spans="2:8" s="42" customFormat="1" ht="15" x14ac:dyDescent="0.25">
      <c r="B1047" s="654"/>
      <c r="C1047" s="675"/>
      <c r="D1047" s="40" t="s">
        <v>335</v>
      </c>
      <c r="E1047" s="208" t="s">
        <v>17</v>
      </c>
      <c r="F1047" s="167">
        <v>10</v>
      </c>
      <c r="G1047" s="167">
        <v>3</v>
      </c>
      <c r="H1047" s="193">
        <f>G1047*F1047</f>
        <v>30</v>
      </c>
    </row>
    <row r="1048" spans="2:8" s="42" customFormat="1" ht="15" x14ac:dyDescent="0.25">
      <c r="B1048" s="654"/>
      <c r="C1048" s="675"/>
      <c r="D1048" s="40" t="s">
        <v>353</v>
      </c>
      <c r="E1048" s="208" t="s">
        <v>17</v>
      </c>
      <c r="F1048" s="43">
        <f>2.2+3.5</f>
        <v>5.7</v>
      </c>
      <c r="G1048" s="43">
        <v>3</v>
      </c>
      <c r="H1048" s="193">
        <f>G1048*F1048*2</f>
        <v>34.200000000000003</v>
      </c>
    </row>
    <row r="1049" spans="2:8" s="42" customFormat="1" ht="15" x14ac:dyDescent="0.25">
      <c r="B1049" s="654"/>
      <c r="C1049" s="675"/>
      <c r="D1049" s="94" t="s">
        <v>763</v>
      </c>
      <c r="E1049" s="208" t="s">
        <v>17</v>
      </c>
      <c r="F1049" s="43">
        <f>1.2*1.8+1.5*1</f>
        <v>3.66</v>
      </c>
      <c r="G1049" s="43">
        <v>3</v>
      </c>
      <c r="H1049" s="193">
        <f>-G1049*F1049</f>
        <v>-10.98</v>
      </c>
    </row>
    <row r="1050" spans="2:8" s="42" customFormat="1" ht="15" x14ac:dyDescent="0.25">
      <c r="B1050" s="654"/>
      <c r="C1050" s="675"/>
      <c r="D1050" s="40" t="s">
        <v>570</v>
      </c>
      <c r="E1050" s="208" t="s">
        <v>17</v>
      </c>
      <c r="F1050" s="43">
        <f>2.2*2+1.4*2</f>
        <v>7.2</v>
      </c>
      <c r="G1050" s="43">
        <v>3</v>
      </c>
      <c r="H1050" s="193">
        <f>G1050*F1050*2</f>
        <v>43.2</v>
      </c>
    </row>
    <row r="1051" spans="2:8" s="42" customFormat="1" ht="15" x14ac:dyDescent="0.25">
      <c r="B1051" s="654"/>
      <c r="C1051" s="675"/>
      <c r="D1051" s="40" t="s">
        <v>787</v>
      </c>
      <c r="E1051" s="208" t="s">
        <v>17</v>
      </c>
      <c r="F1051" s="43">
        <v>0.6</v>
      </c>
      <c r="G1051" s="43">
        <v>0.5</v>
      </c>
      <c r="H1051" s="193">
        <f>-G1051*F1051</f>
        <v>-0.3</v>
      </c>
    </row>
    <row r="1052" spans="2:8" s="42" customFormat="1" ht="15" x14ac:dyDescent="0.25">
      <c r="B1052" s="654"/>
      <c r="C1052" s="675"/>
      <c r="D1052" s="40" t="s">
        <v>766</v>
      </c>
      <c r="E1052" s="208" t="s">
        <v>17</v>
      </c>
      <c r="F1052" s="43">
        <v>0.7</v>
      </c>
      <c r="G1052" s="43">
        <v>2.1</v>
      </c>
      <c r="H1052" s="193">
        <f>-G1052*F1052</f>
        <v>-1.47</v>
      </c>
    </row>
    <row r="1053" spans="2:8" s="42" customFormat="1" ht="15" x14ac:dyDescent="0.25">
      <c r="B1053" s="654"/>
      <c r="C1053" s="675"/>
      <c r="D1053" s="40" t="s">
        <v>569</v>
      </c>
      <c r="E1053" s="208" t="s">
        <v>17</v>
      </c>
      <c r="F1053" s="43">
        <f>2.2*2+1.4*2</f>
        <v>7.2</v>
      </c>
      <c r="G1053" s="43">
        <v>3</v>
      </c>
      <c r="H1053" s="193">
        <f>G1053*F1053*2</f>
        <v>43.2</v>
      </c>
    </row>
    <row r="1054" spans="2:8" s="42" customFormat="1" ht="15" x14ac:dyDescent="0.25">
      <c r="B1054" s="654"/>
      <c r="C1054" s="675"/>
      <c r="D1054" s="40" t="s">
        <v>764</v>
      </c>
      <c r="E1054" s="208" t="s">
        <v>17</v>
      </c>
      <c r="F1054" s="43">
        <v>0.6</v>
      </c>
      <c r="G1054" s="43">
        <v>0.5</v>
      </c>
      <c r="H1054" s="193">
        <f>-G1054*F1054</f>
        <v>-0.3</v>
      </c>
    </row>
    <row r="1055" spans="2:8" s="42" customFormat="1" ht="15" x14ac:dyDescent="0.25">
      <c r="B1055" s="654"/>
      <c r="C1055" s="675"/>
      <c r="D1055" s="98" t="s">
        <v>766</v>
      </c>
      <c r="E1055" s="208" t="s">
        <v>17</v>
      </c>
      <c r="F1055" s="43">
        <v>0.7</v>
      </c>
      <c r="G1055" s="43">
        <v>2.1</v>
      </c>
      <c r="H1055" s="193">
        <f>-G1055*F1055</f>
        <v>-1.47</v>
      </c>
    </row>
    <row r="1056" spans="2:8" s="42" customFormat="1" ht="15" x14ac:dyDescent="0.25">
      <c r="B1056" s="654"/>
      <c r="C1056" s="675"/>
      <c r="D1056" s="40" t="s">
        <v>572</v>
      </c>
      <c r="E1056" s="208" t="s">
        <v>17</v>
      </c>
      <c r="F1056" s="43">
        <f>1.2*2+2*2</f>
        <v>6.4</v>
      </c>
      <c r="G1056" s="43">
        <v>3</v>
      </c>
      <c r="H1056" s="193">
        <f>G1056*F1056*2</f>
        <v>38.400000000000006</v>
      </c>
    </row>
    <row r="1057" spans="2:8" s="42" customFormat="1" ht="15" x14ac:dyDescent="0.25">
      <c r="B1057" s="654"/>
      <c r="C1057" s="675"/>
      <c r="D1057" s="40" t="s">
        <v>788</v>
      </c>
      <c r="E1057" s="208" t="s">
        <v>17</v>
      </c>
      <c r="F1057" s="43">
        <v>1.2</v>
      </c>
      <c r="G1057" s="43">
        <v>1.2</v>
      </c>
      <c r="H1057" s="193">
        <f>-G1057*F1057</f>
        <v>-1.44</v>
      </c>
    </row>
    <row r="1058" spans="2:8" s="42" customFormat="1" ht="15" x14ac:dyDescent="0.25">
      <c r="B1058" s="654"/>
      <c r="C1058" s="675"/>
      <c r="D1058" s="40" t="s">
        <v>768</v>
      </c>
      <c r="E1058" s="208" t="s">
        <v>17</v>
      </c>
      <c r="F1058" s="43">
        <v>0.8</v>
      </c>
      <c r="G1058" s="43">
        <v>2.1</v>
      </c>
      <c r="H1058" s="193">
        <f>-G1058*F1058</f>
        <v>-1.6800000000000002</v>
      </c>
    </row>
    <row r="1059" spans="2:8" s="42" customFormat="1" ht="15" x14ac:dyDescent="0.2">
      <c r="B1059" s="654"/>
      <c r="C1059" s="675"/>
      <c r="D1059" s="100" t="s">
        <v>331</v>
      </c>
      <c r="E1059" s="208" t="s">
        <v>17</v>
      </c>
      <c r="F1059" s="43">
        <v>8.8000000000000007</v>
      </c>
      <c r="G1059" s="43">
        <v>3</v>
      </c>
      <c r="H1059" s="193">
        <f>G1059*F1059*2</f>
        <v>52.800000000000004</v>
      </c>
    </row>
    <row r="1060" spans="2:8" s="42" customFormat="1" ht="15" x14ac:dyDescent="0.2">
      <c r="B1060" s="654"/>
      <c r="C1060" s="675"/>
      <c r="D1060" s="100" t="s">
        <v>28</v>
      </c>
      <c r="E1060" s="208" t="s">
        <v>17</v>
      </c>
      <c r="F1060" s="43">
        <f>4.7*2+6.3*2</f>
        <v>22</v>
      </c>
      <c r="G1060" s="43">
        <v>3</v>
      </c>
      <c r="H1060" s="193">
        <f>G1060*F1060*2</f>
        <v>132</v>
      </c>
    </row>
    <row r="1061" spans="2:8" s="42" customFormat="1" ht="15" x14ac:dyDescent="0.2">
      <c r="B1061" s="654"/>
      <c r="C1061" s="675"/>
      <c r="D1061" s="100" t="s">
        <v>759</v>
      </c>
      <c r="E1061" s="208" t="s">
        <v>17</v>
      </c>
      <c r="F1061" s="43">
        <v>1.8</v>
      </c>
      <c r="G1061" s="43">
        <v>1.2</v>
      </c>
      <c r="H1061" s="193">
        <f>-G1061*F1061*3</f>
        <v>-6.48</v>
      </c>
    </row>
    <row r="1062" spans="2:8" s="42" customFormat="1" ht="15" x14ac:dyDescent="0.2">
      <c r="B1062" s="654"/>
      <c r="C1062" s="675"/>
      <c r="D1062" s="100" t="s">
        <v>769</v>
      </c>
      <c r="E1062" s="208" t="s">
        <v>17</v>
      </c>
      <c r="F1062" s="43">
        <v>0.9</v>
      </c>
      <c r="G1062" s="43">
        <v>2.1</v>
      </c>
      <c r="H1062" s="193">
        <f>-G1062*F1062</f>
        <v>-1.8900000000000001</v>
      </c>
    </row>
    <row r="1063" spans="2:8" s="42" customFormat="1" ht="15" x14ac:dyDescent="0.2">
      <c r="B1063" s="654"/>
      <c r="C1063" s="675"/>
      <c r="D1063" s="100" t="s">
        <v>21</v>
      </c>
      <c r="E1063" s="208" t="s">
        <v>17</v>
      </c>
      <c r="F1063" s="43">
        <f>4.7*2+4.7*2</f>
        <v>18.8</v>
      </c>
      <c r="G1063" s="43">
        <v>3</v>
      </c>
      <c r="H1063" s="193">
        <f>G1063*F1063*2</f>
        <v>112.80000000000001</v>
      </c>
    </row>
    <row r="1064" spans="2:8" s="42" customFormat="1" ht="15" x14ac:dyDescent="0.2">
      <c r="B1064" s="654"/>
      <c r="C1064" s="675"/>
      <c r="D1064" s="100" t="s">
        <v>759</v>
      </c>
      <c r="E1064" s="208" t="s">
        <v>17</v>
      </c>
      <c r="F1064" s="43">
        <v>1.8</v>
      </c>
      <c r="G1064" s="43">
        <v>1.2</v>
      </c>
      <c r="H1064" s="193">
        <f>-G1064*F1064*3</f>
        <v>-6.48</v>
      </c>
    </row>
    <row r="1065" spans="2:8" s="42" customFormat="1" ht="15" x14ac:dyDescent="0.2">
      <c r="B1065" s="654"/>
      <c r="C1065" s="675"/>
      <c r="D1065" s="100" t="s">
        <v>770</v>
      </c>
      <c r="E1065" s="208" t="s">
        <v>17</v>
      </c>
      <c r="F1065" s="43">
        <v>0.9</v>
      </c>
      <c r="G1065" s="43">
        <v>2.1</v>
      </c>
      <c r="H1065" s="193">
        <f>-G1065*F1065</f>
        <v>-1.8900000000000001</v>
      </c>
    </row>
    <row r="1066" spans="2:8" s="42" customFormat="1" ht="15" x14ac:dyDescent="0.2">
      <c r="B1066" s="654"/>
      <c r="C1066" s="675"/>
      <c r="D1066" s="100" t="s">
        <v>22</v>
      </c>
      <c r="E1066" s="208" t="s">
        <v>17</v>
      </c>
      <c r="F1066" s="43">
        <f>4.9*2+6.5*2</f>
        <v>22.8</v>
      </c>
      <c r="G1066" s="43">
        <v>3</v>
      </c>
      <c r="H1066" s="193">
        <f>G1066*F1066*2</f>
        <v>136.80000000000001</v>
      </c>
    </row>
    <row r="1067" spans="2:8" s="42" customFormat="1" ht="15" x14ac:dyDescent="0.2">
      <c r="B1067" s="654"/>
      <c r="C1067" s="675"/>
      <c r="D1067" s="100" t="s">
        <v>771</v>
      </c>
      <c r="E1067" s="208" t="s">
        <v>17</v>
      </c>
      <c r="F1067" s="43">
        <v>1.8</v>
      </c>
      <c r="G1067" s="43">
        <v>1.2</v>
      </c>
      <c r="H1067" s="193">
        <f>-G1067*F1067</f>
        <v>-2.16</v>
      </c>
    </row>
    <row r="1068" spans="2:8" s="42" customFormat="1" ht="15" x14ac:dyDescent="0.2">
      <c r="B1068" s="654"/>
      <c r="C1068" s="675"/>
      <c r="D1068" s="100" t="s">
        <v>769</v>
      </c>
      <c r="E1068" s="208" t="s">
        <v>17</v>
      </c>
      <c r="F1068" s="43">
        <v>0.9</v>
      </c>
      <c r="G1068" s="43">
        <v>2.1</v>
      </c>
      <c r="H1068" s="193">
        <f>-G1068*F1068</f>
        <v>-1.8900000000000001</v>
      </c>
    </row>
    <row r="1069" spans="2:8" s="42" customFormat="1" ht="15" x14ac:dyDescent="0.2">
      <c r="B1069" s="654"/>
      <c r="C1069" s="675"/>
      <c r="D1069" s="100" t="s">
        <v>772</v>
      </c>
      <c r="E1069" s="208" t="s">
        <v>17</v>
      </c>
      <c r="F1069" s="43">
        <v>2</v>
      </c>
      <c r="G1069" s="43">
        <v>2.1</v>
      </c>
      <c r="H1069" s="193">
        <f>-G1069*F1069</f>
        <v>-4.2</v>
      </c>
    </row>
    <row r="1070" spans="2:8" s="42" customFormat="1" ht="15" x14ac:dyDescent="0.2">
      <c r="B1070" s="654"/>
      <c r="C1070" s="675"/>
      <c r="D1070" s="100" t="s">
        <v>29</v>
      </c>
      <c r="E1070" s="208" t="s">
        <v>17</v>
      </c>
      <c r="F1070" s="43">
        <f>4.7*2+6.3*2</f>
        <v>22</v>
      </c>
      <c r="G1070" s="43">
        <v>3</v>
      </c>
      <c r="H1070" s="193">
        <f>G1070*F1070*2</f>
        <v>132</v>
      </c>
    </row>
    <row r="1071" spans="2:8" s="42" customFormat="1" ht="15" x14ac:dyDescent="0.2">
      <c r="B1071" s="654"/>
      <c r="C1071" s="675"/>
      <c r="D1071" s="100" t="s">
        <v>771</v>
      </c>
      <c r="E1071" s="208" t="s">
        <v>17</v>
      </c>
      <c r="F1071" s="43">
        <v>1.8</v>
      </c>
      <c r="G1071" s="43">
        <v>1.2</v>
      </c>
      <c r="H1071" s="193">
        <f>-G1071*F1071</f>
        <v>-2.16</v>
      </c>
    </row>
    <row r="1072" spans="2:8" s="42" customFormat="1" ht="15" x14ac:dyDescent="0.2">
      <c r="B1072" s="654"/>
      <c r="C1072" s="675"/>
      <c r="D1072" s="100" t="s">
        <v>773</v>
      </c>
      <c r="E1072" s="208" t="s">
        <v>17</v>
      </c>
      <c r="F1072" s="43">
        <v>0.6</v>
      </c>
      <c r="G1072" s="43">
        <v>1.8</v>
      </c>
      <c r="H1072" s="193">
        <f>-G1072*F1072*2</f>
        <v>-2.16</v>
      </c>
    </row>
    <row r="1073" spans="1:8" s="42" customFormat="1" ht="15" x14ac:dyDescent="0.2">
      <c r="B1073" s="654"/>
      <c r="C1073" s="675"/>
      <c r="D1073" s="100" t="s">
        <v>769</v>
      </c>
      <c r="E1073" s="208" t="s">
        <v>17</v>
      </c>
      <c r="F1073" s="43">
        <v>0.9</v>
      </c>
      <c r="G1073" s="43">
        <v>2.1</v>
      </c>
      <c r="H1073" s="193">
        <f>-G1073*F1073</f>
        <v>-1.8900000000000001</v>
      </c>
    </row>
    <row r="1074" spans="1:8" s="42" customFormat="1" ht="15" x14ac:dyDescent="0.2">
      <c r="B1074" s="654"/>
      <c r="C1074" s="675"/>
      <c r="D1074" s="100" t="s">
        <v>772</v>
      </c>
      <c r="E1074" s="208" t="s">
        <v>17</v>
      </c>
      <c r="F1074" s="43">
        <v>2</v>
      </c>
      <c r="G1074" s="43">
        <v>2.1</v>
      </c>
      <c r="H1074" s="193">
        <f>-G1074*F1074</f>
        <v>-4.2</v>
      </c>
    </row>
    <row r="1075" spans="1:8" s="42" customFormat="1" ht="15" x14ac:dyDescent="0.2">
      <c r="B1075" s="654"/>
      <c r="C1075" s="675"/>
      <c r="D1075" s="100" t="s">
        <v>613</v>
      </c>
      <c r="E1075" s="208" t="s">
        <v>17</v>
      </c>
      <c r="F1075" s="43">
        <f>7.25*2+4.9*2</f>
        <v>24.3</v>
      </c>
      <c r="G1075" s="43">
        <v>3</v>
      </c>
      <c r="H1075" s="193">
        <f>G1075*F1075*2</f>
        <v>145.80000000000001</v>
      </c>
    </row>
    <row r="1076" spans="1:8" s="42" customFormat="1" ht="15" x14ac:dyDescent="0.2">
      <c r="B1076" s="654"/>
      <c r="C1076" s="675"/>
      <c r="D1076" s="100" t="s">
        <v>771</v>
      </c>
      <c r="E1076" s="208" t="s">
        <v>17</v>
      </c>
      <c r="F1076" s="43">
        <v>1.8</v>
      </c>
      <c r="G1076" s="43">
        <v>1.2</v>
      </c>
      <c r="H1076" s="193">
        <f>-G1076*F1076</f>
        <v>-2.16</v>
      </c>
    </row>
    <row r="1077" spans="1:8" s="42" customFormat="1" ht="15" x14ac:dyDescent="0.2">
      <c r="B1077" s="654"/>
      <c r="C1077" s="675"/>
      <c r="D1077" s="100" t="s">
        <v>773</v>
      </c>
      <c r="E1077" s="208" t="s">
        <v>17</v>
      </c>
      <c r="F1077" s="43">
        <v>0.6</v>
      </c>
      <c r="G1077" s="43">
        <v>1.8</v>
      </c>
      <c r="H1077" s="193">
        <f>-G1077*F1077*2</f>
        <v>-2.16</v>
      </c>
    </row>
    <row r="1078" spans="1:8" s="42" customFormat="1" ht="15" x14ac:dyDescent="0.2">
      <c r="B1078" s="654"/>
      <c r="C1078" s="675"/>
      <c r="D1078" s="100" t="s">
        <v>774</v>
      </c>
      <c r="E1078" s="208" t="s">
        <v>17</v>
      </c>
      <c r="F1078" s="43">
        <v>0.9</v>
      </c>
      <c r="G1078" s="43">
        <v>2.1</v>
      </c>
      <c r="H1078" s="193">
        <f>-G1078*F1078</f>
        <v>-1.8900000000000001</v>
      </c>
    </row>
    <row r="1079" spans="1:8" s="42" customFormat="1" ht="15" x14ac:dyDescent="0.25">
      <c r="B1079" s="654"/>
      <c r="C1079" s="675"/>
      <c r="D1079" s="363" t="s">
        <v>782</v>
      </c>
      <c r="E1079" s="208" t="s">
        <v>17</v>
      </c>
      <c r="F1079" s="140">
        <f>3.5*2+4.9*2</f>
        <v>16.8</v>
      </c>
      <c r="G1079" s="43">
        <v>3</v>
      </c>
      <c r="H1079" s="193">
        <f>G1079*F1079*2</f>
        <v>100.80000000000001</v>
      </c>
    </row>
    <row r="1080" spans="1:8" s="42" customFormat="1" ht="15" x14ac:dyDescent="0.25">
      <c r="B1080" s="654"/>
      <c r="C1080" s="675"/>
      <c r="D1080" s="41" t="s">
        <v>775</v>
      </c>
      <c r="E1080" s="208" t="s">
        <v>17</v>
      </c>
      <c r="F1080" s="341">
        <v>2</v>
      </c>
      <c r="G1080" s="333">
        <v>2.1</v>
      </c>
      <c r="H1080" s="330">
        <f>G1080*F1080</f>
        <v>4.2</v>
      </c>
    </row>
    <row r="1081" spans="1:8" s="89" customFormat="1" ht="15" x14ac:dyDescent="0.25">
      <c r="A1081" s="42"/>
      <c r="B1081" s="654"/>
      <c r="C1081" s="675"/>
      <c r="D1081" s="41" t="s">
        <v>83</v>
      </c>
      <c r="E1081" s="208" t="s">
        <v>17</v>
      </c>
      <c r="F1081" s="344">
        <v>3.2</v>
      </c>
      <c r="G1081" s="345">
        <v>2.7</v>
      </c>
      <c r="H1081" s="193">
        <f>G1081*F1081</f>
        <v>8.64</v>
      </c>
    </row>
    <row r="1082" spans="1:8" s="89" customFormat="1" ht="15" x14ac:dyDescent="0.25">
      <c r="A1082" s="42"/>
      <c r="B1082" s="654"/>
      <c r="C1082" s="675"/>
      <c r="D1082" s="41" t="s">
        <v>574</v>
      </c>
      <c r="E1082" s="208" t="s">
        <v>17</v>
      </c>
      <c r="F1082" s="343">
        <v>67.5</v>
      </c>
      <c r="G1082" s="333">
        <v>1</v>
      </c>
      <c r="H1082" s="330">
        <f>F1082</f>
        <v>67.5</v>
      </c>
    </row>
    <row r="1083" spans="1:8" s="89" customFormat="1" ht="15" x14ac:dyDescent="0.25">
      <c r="A1083" s="42"/>
      <c r="B1083" s="654"/>
      <c r="C1083" s="675"/>
      <c r="D1083" s="41" t="s">
        <v>573</v>
      </c>
      <c r="E1083" s="208" t="s">
        <v>17</v>
      </c>
      <c r="F1083" s="343">
        <v>16.25</v>
      </c>
      <c r="G1083" s="333">
        <v>1</v>
      </c>
      <c r="H1083" s="330">
        <f>F1083</f>
        <v>16.25</v>
      </c>
    </row>
    <row r="1084" spans="1:8" s="89" customFormat="1" ht="15" x14ac:dyDescent="0.25">
      <c r="A1084" s="42"/>
      <c r="B1084" s="656"/>
      <c r="C1084" s="674"/>
      <c r="D1084" s="41" t="s">
        <v>789</v>
      </c>
      <c r="E1084" s="208" t="s">
        <v>17</v>
      </c>
      <c r="F1084" s="346">
        <v>5</v>
      </c>
      <c r="G1084" s="346">
        <v>2</v>
      </c>
      <c r="H1084" s="330">
        <f>F1084*G1084</f>
        <v>10</v>
      </c>
    </row>
    <row r="1085" spans="1:8" s="89" customFormat="1" ht="15.75" x14ac:dyDescent="0.25">
      <c r="B1085" s="598" t="s">
        <v>790</v>
      </c>
      <c r="C1085" s="442">
        <v>200403</v>
      </c>
      <c r="D1085" s="48" t="s">
        <v>791</v>
      </c>
      <c r="E1085" s="99" t="s">
        <v>17</v>
      </c>
      <c r="F1085" s="164" t="s">
        <v>27</v>
      </c>
      <c r="G1085" s="164" t="s">
        <v>40</v>
      </c>
      <c r="H1085" s="192">
        <f>SUM(H1086:H1133)</f>
        <v>1419.9199999999994</v>
      </c>
    </row>
    <row r="1086" spans="1:8" s="89" customFormat="1" ht="15" x14ac:dyDescent="0.25">
      <c r="B1086" s="637"/>
      <c r="C1086" s="638"/>
      <c r="D1086" s="40" t="s">
        <v>64</v>
      </c>
      <c r="E1086" s="140" t="s">
        <v>17</v>
      </c>
      <c r="F1086" s="167">
        <f>7.55*2+5.25*2</f>
        <v>25.6</v>
      </c>
      <c r="G1086" s="167">
        <v>3</v>
      </c>
      <c r="H1086" s="193">
        <f>G1086*F1086*2</f>
        <v>153.60000000000002</v>
      </c>
    </row>
    <row r="1087" spans="1:8" s="89" customFormat="1" ht="15" x14ac:dyDescent="0.25">
      <c r="B1087" s="637"/>
      <c r="C1087" s="638"/>
      <c r="D1087" s="40" t="s">
        <v>759</v>
      </c>
      <c r="E1087" s="140" t="s">
        <v>17</v>
      </c>
      <c r="F1087" s="167">
        <v>1.8</v>
      </c>
      <c r="G1087" s="167">
        <v>1.2</v>
      </c>
      <c r="H1087" s="193">
        <f>-G1087*F1087*3</f>
        <v>-6.48</v>
      </c>
    </row>
    <row r="1088" spans="1:8" s="89" customFormat="1" ht="15" x14ac:dyDescent="0.25">
      <c r="B1088" s="637"/>
      <c r="C1088" s="638"/>
      <c r="D1088" s="40" t="s">
        <v>725</v>
      </c>
      <c r="E1088" s="140" t="s">
        <v>17</v>
      </c>
      <c r="F1088" s="167">
        <f>2.65*2+4.75*2</f>
        <v>14.8</v>
      </c>
      <c r="G1088" s="167">
        <v>3</v>
      </c>
      <c r="H1088" s="193">
        <f>G1088*F1088*2</f>
        <v>88.800000000000011</v>
      </c>
    </row>
    <row r="1089" spans="2:8" s="89" customFormat="1" ht="15" x14ac:dyDescent="0.25">
      <c r="B1089" s="637"/>
      <c r="C1089" s="638"/>
      <c r="D1089" s="40" t="s">
        <v>760</v>
      </c>
      <c r="E1089" s="140" t="s">
        <v>17</v>
      </c>
      <c r="F1089" s="167">
        <v>0.8</v>
      </c>
      <c r="G1089" s="167">
        <v>1.6</v>
      </c>
      <c r="H1089" s="193">
        <f>-G1089*F1089</f>
        <v>-1.2800000000000002</v>
      </c>
    </row>
    <row r="1090" spans="2:8" s="89" customFormat="1" ht="15" x14ac:dyDescent="0.25">
      <c r="B1090" s="637"/>
      <c r="C1090" s="638"/>
      <c r="D1090" s="40" t="s">
        <v>761</v>
      </c>
      <c r="E1090" s="140" t="s">
        <v>17</v>
      </c>
      <c r="F1090" s="167">
        <v>0.9</v>
      </c>
      <c r="G1090" s="167">
        <v>2.1</v>
      </c>
      <c r="H1090" s="193">
        <f>-G1090*F1090</f>
        <v>-1.8900000000000001</v>
      </c>
    </row>
    <row r="1091" spans="2:8" s="89" customFormat="1" ht="15" x14ac:dyDescent="0.25">
      <c r="B1091" s="637"/>
      <c r="C1091" s="638"/>
      <c r="D1091" s="40" t="s">
        <v>727</v>
      </c>
      <c r="E1091" s="208" t="s">
        <v>17</v>
      </c>
      <c r="F1091" s="167">
        <f>2.65*2+4.75*2</f>
        <v>14.8</v>
      </c>
      <c r="G1091" s="167">
        <v>3</v>
      </c>
      <c r="H1091" s="193">
        <f>G1091*F1091*2</f>
        <v>88.800000000000011</v>
      </c>
    </row>
    <row r="1092" spans="2:8" s="89" customFormat="1" ht="15" x14ac:dyDescent="0.25">
      <c r="B1092" s="637"/>
      <c r="C1092" s="638"/>
      <c r="D1092" s="40" t="s">
        <v>760</v>
      </c>
      <c r="E1092" s="208" t="s">
        <v>17</v>
      </c>
      <c r="F1092" s="167">
        <v>0.8</v>
      </c>
      <c r="G1092" s="167">
        <v>1.6</v>
      </c>
      <c r="H1092" s="193">
        <f>-G1092*F1092</f>
        <v>-1.2800000000000002</v>
      </c>
    </row>
    <row r="1093" spans="2:8" s="89" customFormat="1" ht="15" x14ac:dyDescent="0.25">
      <c r="B1093" s="637"/>
      <c r="C1093" s="638"/>
      <c r="D1093" s="40" t="s">
        <v>761</v>
      </c>
      <c r="E1093" s="208" t="s">
        <v>17</v>
      </c>
      <c r="F1093" s="167">
        <v>0.9</v>
      </c>
      <c r="G1093" s="167">
        <v>2.1</v>
      </c>
      <c r="H1093" s="193">
        <f>-G1093*F1093</f>
        <v>-1.8900000000000001</v>
      </c>
    </row>
    <row r="1094" spans="2:8" s="89" customFormat="1" ht="15" x14ac:dyDescent="0.25">
      <c r="B1094" s="637"/>
      <c r="C1094" s="638"/>
      <c r="D1094" s="40" t="s">
        <v>347</v>
      </c>
      <c r="E1094" s="208" t="s">
        <v>17</v>
      </c>
      <c r="F1094" s="167">
        <f>1.7*2+1.65*2</f>
        <v>6.6999999999999993</v>
      </c>
      <c r="G1094" s="167">
        <v>3</v>
      </c>
      <c r="H1094" s="193">
        <f>G1094*F1094</f>
        <v>20.099999999999998</v>
      </c>
    </row>
    <row r="1095" spans="2:8" s="89" customFormat="1" ht="15" x14ac:dyDescent="0.25">
      <c r="B1095" s="637"/>
      <c r="C1095" s="638"/>
      <c r="D1095" s="40" t="s">
        <v>762</v>
      </c>
      <c r="E1095" s="208" t="s">
        <v>17</v>
      </c>
      <c r="F1095" s="167">
        <v>1</v>
      </c>
      <c r="G1095" s="167">
        <v>2.1</v>
      </c>
      <c r="H1095" s="193">
        <f>-G1095*F1095</f>
        <v>-2.1</v>
      </c>
    </row>
    <row r="1096" spans="2:8" s="89" customFormat="1" ht="15" x14ac:dyDescent="0.25">
      <c r="B1096" s="637"/>
      <c r="C1096" s="638"/>
      <c r="D1096" s="40" t="s">
        <v>335</v>
      </c>
      <c r="E1096" s="208" t="s">
        <v>17</v>
      </c>
      <c r="F1096" s="167">
        <v>10</v>
      </c>
      <c r="G1096" s="167">
        <v>3</v>
      </c>
      <c r="H1096" s="193">
        <f>G1096*F1096</f>
        <v>30</v>
      </c>
    </row>
    <row r="1097" spans="2:8" s="89" customFormat="1" ht="15" x14ac:dyDescent="0.25">
      <c r="B1097" s="637"/>
      <c r="C1097" s="638"/>
      <c r="D1097" s="40" t="s">
        <v>353</v>
      </c>
      <c r="E1097" s="208" t="s">
        <v>17</v>
      </c>
      <c r="F1097" s="43">
        <f>2.2*2+3.5*2</f>
        <v>11.4</v>
      </c>
      <c r="G1097" s="43">
        <v>3</v>
      </c>
      <c r="H1097" s="193">
        <f>G1097*F1097*2</f>
        <v>68.400000000000006</v>
      </c>
    </row>
    <row r="1098" spans="2:8" s="89" customFormat="1" ht="15" x14ac:dyDescent="0.25">
      <c r="B1098" s="637"/>
      <c r="C1098" s="638"/>
      <c r="D1098" s="94" t="s">
        <v>792</v>
      </c>
      <c r="E1098" s="208" t="s">
        <v>17</v>
      </c>
      <c r="F1098" s="43">
        <f>1.2*1.8+1.5*1</f>
        <v>3.66</v>
      </c>
      <c r="G1098" s="43">
        <v>3</v>
      </c>
      <c r="H1098" s="193">
        <f>-G1098*F1098</f>
        <v>-10.98</v>
      </c>
    </row>
    <row r="1099" spans="2:8" s="89" customFormat="1" ht="15" x14ac:dyDescent="0.25">
      <c r="B1099" s="637"/>
      <c r="C1099" s="638"/>
      <c r="D1099" s="40" t="s">
        <v>570</v>
      </c>
      <c r="E1099" s="208" t="s">
        <v>17</v>
      </c>
      <c r="F1099" s="43">
        <f>2.2*2+1.4*2</f>
        <v>7.2</v>
      </c>
      <c r="G1099" s="43">
        <v>3</v>
      </c>
      <c r="H1099" s="193">
        <f>G1099*F1099*2</f>
        <v>43.2</v>
      </c>
    </row>
    <row r="1100" spans="2:8" s="89" customFormat="1" ht="15" x14ac:dyDescent="0.25">
      <c r="B1100" s="637"/>
      <c r="C1100" s="638"/>
      <c r="D1100" s="40" t="s">
        <v>793</v>
      </c>
      <c r="E1100" s="208" t="s">
        <v>17</v>
      </c>
      <c r="F1100" s="43">
        <v>0.6</v>
      </c>
      <c r="G1100" s="43">
        <v>0.5</v>
      </c>
      <c r="H1100" s="193">
        <f>-G1100*F1100</f>
        <v>-0.3</v>
      </c>
    </row>
    <row r="1101" spans="2:8" s="89" customFormat="1" ht="15" x14ac:dyDescent="0.25">
      <c r="B1101" s="637"/>
      <c r="C1101" s="638"/>
      <c r="D1101" s="40" t="s">
        <v>794</v>
      </c>
      <c r="E1101" s="208" t="s">
        <v>17</v>
      </c>
      <c r="F1101" s="43">
        <v>0.7</v>
      </c>
      <c r="G1101" s="43">
        <v>2.1</v>
      </c>
      <c r="H1101" s="193">
        <f>-G1101*F1101</f>
        <v>-1.47</v>
      </c>
    </row>
    <row r="1102" spans="2:8" s="89" customFormat="1" ht="15" x14ac:dyDescent="0.25">
      <c r="B1102" s="637"/>
      <c r="C1102" s="638"/>
      <c r="D1102" s="40" t="s">
        <v>569</v>
      </c>
      <c r="E1102" s="208" t="s">
        <v>17</v>
      </c>
      <c r="F1102" s="43">
        <f>2.2*2+1.4*2</f>
        <v>7.2</v>
      </c>
      <c r="G1102" s="43">
        <v>3</v>
      </c>
      <c r="H1102" s="193">
        <f>G1102*F1102*2</f>
        <v>43.2</v>
      </c>
    </row>
    <row r="1103" spans="2:8" s="89" customFormat="1" ht="15" x14ac:dyDescent="0.25">
      <c r="B1103" s="637"/>
      <c r="C1103" s="638"/>
      <c r="D1103" s="40" t="s">
        <v>793</v>
      </c>
      <c r="E1103" s="208" t="s">
        <v>17</v>
      </c>
      <c r="F1103" s="43">
        <v>0.6</v>
      </c>
      <c r="G1103" s="43">
        <v>0.5</v>
      </c>
      <c r="H1103" s="193">
        <f>-G1103*F1103</f>
        <v>-0.3</v>
      </c>
    </row>
    <row r="1104" spans="2:8" s="89" customFormat="1" ht="15" x14ac:dyDescent="0.25">
      <c r="B1104" s="637"/>
      <c r="C1104" s="638"/>
      <c r="D1104" s="98" t="s">
        <v>795</v>
      </c>
      <c r="E1104" s="208" t="s">
        <v>17</v>
      </c>
      <c r="F1104" s="43">
        <v>0.7</v>
      </c>
      <c r="G1104" s="43">
        <v>2.1</v>
      </c>
      <c r="H1104" s="193">
        <f>-G1104*F1104</f>
        <v>-1.47</v>
      </c>
    </row>
    <row r="1105" spans="2:8" s="89" customFormat="1" ht="15" x14ac:dyDescent="0.25">
      <c r="B1105" s="637"/>
      <c r="C1105" s="638"/>
      <c r="D1105" s="40" t="s">
        <v>572</v>
      </c>
      <c r="E1105" s="208" t="s">
        <v>17</v>
      </c>
      <c r="F1105" s="43">
        <f>1.2*2+2*2</f>
        <v>6.4</v>
      </c>
      <c r="G1105" s="43">
        <v>3</v>
      </c>
      <c r="H1105" s="193">
        <f>G1105*F1105*2</f>
        <v>38.400000000000006</v>
      </c>
    </row>
    <row r="1106" spans="2:8" s="89" customFormat="1" ht="15" x14ac:dyDescent="0.25">
      <c r="B1106" s="637"/>
      <c r="C1106" s="638"/>
      <c r="D1106" s="40" t="s">
        <v>788</v>
      </c>
      <c r="E1106" s="208" t="s">
        <v>17</v>
      </c>
      <c r="F1106" s="43">
        <v>1.2</v>
      </c>
      <c r="G1106" s="43">
        <v>1.2</v>
      </c>
      <c r="H1106" s="193">
        <f>-G1106*F1106</f>
        <v>-1.44</v>
      </c>
    </row>
    <row r="1107" spans="2:8" s="89" customFormat="1" ht="15" x14ac:dyDescent="0.25">
      <c r="B1107" s="637"/>
      <c r="C1107" s="638"/>
      <c r="D1107" s="40" t="s">
        <v>768</v>
      </c>
      <c r="E1107" s="208" t="s">
        <v>17</v>
      </c>
      <c r="F1107" s="43">
        <v>0.8</v>
      </c>
      <c r="G1107" s="43">
        <v>2.1</v>
      </c>
      <c r="H1107" s="193">
        <f>-G1107*F1107</f>
        <v>-1.6800000000000002</v>
      </c>
    </row>
    <row r="1108" spans="2:8" s="89" customFormat="1" ht="15" x14ac:dyDescent="0.2">
      <c r="B1108" s="637"/>
      <c r="C1108" s="638"/>
      <c r="D1108" s="100" t="s">
        <v>331</v>
      </c>
      <c r="E1108" s="208" t="s">
        <v>17</v>
      </c>
      <c r="F1108" s="43">
        <v>8.8000000000000007</v>
      </c>
      <c r="G1108" s="43">
        <v>3</v>
      </c>
      <c r="H1108" s="193">
        <f>G1108*F1108*2</f>
        <v>52.800000000000004</v>
      </c>
    </row>
    <row r="1109" spans="2:8" s="89" customFormat="1" ht="15" x14ac:dyDescent="0.2">
      <c r="B1109" s="637"/>
      <c r="C1109" s="638"/>
      <c r="D1109" s="100" t="s">
        <v>28</v>
      </c>
      <c r="E1109" s="208" t="s">
        <v>17</v>
      </c>
      <c r="F1109" s="43">
        <f>4.7*2+6.3*2</f>
        <v>22</v>
      </c>
      <c r="G1109" s="43">
        <v>3</v>
      </c>
      <c r="H1109" s="193">
        <f>G1109*F1109*2</f>
        <v>132</v>
      </c>
    </row>
    <row r="1110" spans="2:8" s="89" customFormat="1" ht="15" x14ac:dyDescent="0.2">
      <c r="B1110" s="637"/>
      <c r="C1110" s="638"/>
      <c r="D1110" s="100" t="s">
        <v>796</v>
      </c>
      <c r="E1110" s="208" t="s">
        <v>17</v>
      </c>
      <c r="F1110" s="43">
        <v>1.8</v>
      </c>
      <c r="G1110" s="43">
        <v>1.2</v>
      </c>
      <c r="H1110" s="193">
        <f>-G1110*F1110*3</f>
        <v>-6.48</v>
      </c>
    </row>
    <row r="1111" spans="2:8" s="89" customFormat="1" ht="15" x14ac:dyDescent="0.2">
      <c r="B1111" s="637"/>
      <c r="C1111" s="638"/>
      <c r="D1111" s="100" t="s">
        <v>797</v>
      </c>
      <c r="E1111" s="208" t="s">
        <v>17</v>
      </c>
      <c r="F1111" s="43">
        <v>0.9</v>
      </c>
      <c r="G1111" s="43">
        <v>2.1</v>
      </c>
      <c r="H1111" s="193">
        <f>-G1111*F1111</f>
        <v>-1.8900000000000001</v>
      </c>
    </row>
    <row r="1112" spans="2:8" s="89" customFormat="1" ht="15" x14ac:dyDescent="0.2">
      <c r="B1112" s="637"/>
      <c r="C1112" s="638"/>
      <c r="D1112" s="100" t="s">
        <v>21</v>
      </c>
      <c r="E1112" s="208" t="s">
        <v>17</v>
      </c>
      <c r="F1112" s="43">
        <f>4.7*2+4.7*2</f>
        <v>18.8</v>
      </c>
      <c r="G1112" s="43">
        <v>3</v>
      </c>
      <c r="H1112" s="193">
        <f>G1112*F1112*2</f>
        <v>112.80000000000001</v>
      </c>
    </row>
    <row r="1113" spans="2:8" s="89" customFormat="1" ht="15" x14ac:dyDescent="0.2">
      <c r="B1113" s="637"/>
      <c r="C1113" s="638"/>
      <c r="D1113" s="100" t="s">
        <v>796</v>
      </c>
      <c r="E1113" s="208" t="s">
        <v>17</v>
      </c>
      <c r="F1113" s="43">
        <v>1.8</v>
      </c>
      <c r="G1113" s="43">
        <v>1.2</v>
      </c>
      <c r="H1113" s="193">
        <f>-G1113*F1113*3</f>
        <v>-6.48</v>
      </c>
    </row>
    <row r="1114" spans="2:8" s="89" customFormat="1" ht="15" x14ac:dyDescent="0.2">
      <c r="B1114" s="637"/>
      <c r="C1114" s="638"/>
      <c r="D1114" s="100" t="s">
        <v>798</v>
      </c>
      <c r="E1114" s="208" t="s">
        <v>17</v>
      </c>
      <c r="F1114" s="43">
        <v>0.9</v>
      </c>
      <c r="G1114" s="43">
        <v>2.1</v>
      </c>
      <c r="H1114" s="193">
        <f>-G1114*F1114</f>
        <v>-1.8900000000000001</v>
      </c>
    </row>
    <row r="1115" spans="2:8" s="89" customFormat="1" ht="15" x14ac:dyDescent="0.2">
      <c r="B1115" s="637"/>
      <c r="C1115" s="638"/>
      <c r="D1115" s="100" t="s">
        <v>22</v>
      </c>
      <c r="E1115" s="208" t="s">
        <v>17</v>
      </c>
      <c r="F1115" s="43">
        <f>4.9*2+6.5*2</f>
        <v>22.8</v>
      </c>
      <c r="G1115" s="43">
        <v>3</v>
      </c>
      <c r="H1115" s="193">
        <f>G1115*F1115*2</f>
        <v>136.80000000000001</v>
      </c>
    </row>
    <row r="1116" spans="2:8" s="89" customFormat="1" ht="15" x14ac:dyDescent="0.2">
      <c r="B1116" s="637"/>
      <c r="C1116" s="638"/>
      <c r="D1116" s="100" t="s">
        <v>799</v>
      </c>
      <c r="E1116" s="208" t="s">
        <v>17</v>
      </c>
      <c r="F1116" s="43">
        <v>1.8</v>
      </c>
      <c r="G1116" s="43">
        <v>1.2</v>
      </c>
      <c r="H1116" s="193">
        <f>-G1116*F1116</f>
        <v>-2.16</v>
      </c>
    </row>
    <row r="1117" spans="2:8" s="89" customFormat="1" ht="15" x14ac:dyDescent="0.2">
      <c r="B1117" s="637"/>
      <c r="C1117" s="638"/>
      <c r="D1117" s="100" t="s">
        <v>797</v>
      </c>
      <c r="E1117" s="208" t="s">
        <v>17</v>
      </c>
      <c r="F1117" s="43">
        <v>0.9</v>
      </c>
      <c r="G1117" s="43">
        <v>2.1</v>
      </c>
      <c r="H1117" s="193">
        <f>-G1117*F1117</f>
        <v>-1.8900000000000001</v>
      </c>
    </row>
    <row r="1118" spans="2:8" s="89" customFormat="1" ht="15" x14ac:dyDescent="0.2">
      <c r="B1118" s="637"/>
      <c r="C1118" s="638"/>
      <c r="D1118" s="100" t="s">
        <v>800</v>
      </c>
      <c r="E1118" s="208" t="s">
        <v>17</v>
      </c>
      <c r="F1118" s="43">
        <v>2</v>
      </c>
      <c r="G1118" s="43">
        <v>2.1</v>
      </c>
      <c r="H1118" s="193">
        <f>-G1118*F1118</f>
        <v>-4.2</v>
      </c>
    </row>
    <row r="1119" spans="2:8" s="89" customFormat="1" ht="15" x14ac:dyDescent="0.2">
      <c r="B1119" s="637"/>
      <c r="C1119" s="638"/>
      <c r="D1119" s="100" t="s">
        <v>29</v>
      </c>
      <c r="E1119" s="208" t="s">
        <v>17</v>
      </c>
      <c r="F1119" s="43">
        <f>4.7*2+6.3*2</f>
        <v>22</v>
      </c>
      <c r="G1119" s="43">
        <v>3</v>
      </c>
      <c r="H1119" s="193">
        <f>G1119*F1119*2</f>
        <v>132</v>
      </c>
    </row>
    <row r="1120" spans="2:8" s="89" customFormat="1" ht="15" x14ac:dyDescent="0.2">
      <c r="B1120" s="637"/>
      <c r="C1120" s="638"/>
      <c r="D1120" s="100" t="s">
        <v>799</v>
      </c>
      <c r="E1120" s="208" t="s">
        <v>17</v>
      </c>
      <c r="F1120" s="43">
        <v>1.8</v>
      </c>
      <c r="G1120" s="43">
        <v>1.2</v>
      </c>
      <c r="H1120" s="193">
        <f>-G1120*F1120</f>
        <v>-2.16</v>
      </c>
    </row>
    <row r="1121" spans="2:8" s="89" customFormat="1" ht="15" x14ac:dyDescent="0.2">
      <c r="B1121" s="637"/>
      <c r="C1121" s="638"/>
      <c r="D1121" s="100" t="s">
        <v>801</v>
      </c>
      <c r="E1121" s="208" t="s">
        <v>17</v>
      </c>
      <c r="F1121" s="43">
        <v>0.6</v>
      </c>
      <c r="G1121" s="43">
        <v>1.8</v>
      </c>
      <c r="H1121" s="193">
        <f>-G1121*F1121*2</f>
        <v>-2.16</v>
      </c>
    </row>
    <row r="1122" spans="2:8" s="89" customFormat="1" ht="15" x14ac:dyDescent="0.2">
      <c r="B1122" s="637"/>
      <c r="C1122" s="638"/>
      <c r="D1122" s="100" t="s">
        <v>797</v>
      </c>
      <c r="E1122" s="208" t="s">
        <v>17</v>
      </c>
      <c r="F1122" s="43">
        <v>0.9</v>
      </c>
      <c r="G1122" s="43">
        <v>2.1</v>
      </c>
      <c r="H1122" s="193">
        <f>-G1122*F1122</f>
        <v>-1.8900000000000001</v>
      </c>
    </row>
    <row r="1123" spans="2:8" s="89" customFormat="1" ht="15" x14ac:dyDescent="0.2">
      <c r="B1123" s="637"/>
      <c r="C1123" s="638"/>
      <c r="D1123" s="100" t="s">
        <v>800</v>
      </c>
      <c r="E1123" s="208" t="s">
        <v>17</v>
      </c>
      <c r="F1123" s="43">
        <v>2</v>
      </c>
      <c r="G1123" s="43">
        <v>2.1</v>
      </c>
      <c r="H1123" s="193">
        <f>-G1123*F1123</f>
        <v>-4.2</v>
      </c>
    </row>
    <row r="1124" spans="2:8" s="89" customFormat="1" ht="15" x14ac:dyDescent="0.2">
      <c r="B1124" s="637"/>
      <c r="C1124" s="638"/>
      <c r="D1124" s="100" t="s">
        <v>613</v>
      </c>
      <c r="E1124" s="208" t="s">
        <v>17</v>
      </c>
      <c r="F1124" s="43">
        <f>7.25*2+4.9*2</f>
        <v>24.3</v>
      </c>
      <c r="G1124" s="43">
        <v>3</v>
      </c>
      <c r="H1124" s="193">
        <f>G1124*F1124*2</f>
        <v>145.80000000000001</v>
      </c>
    </row>
    <row r="1125" spans="2:8" s="89" customFormat="1" ht="15" x14ac:dyDescent="0.2">
      <c r="B1125" s="637"/>
      <c r="C1125" s="638"/>
      <c r="D1125" s="100" t="s">
        <v>799</v>
      </c>
      <c r="E1125" s="208" t="s">
        <v>17</v>
      </c>
      <c r="F1125" s="43">
        <v>1.8</v>
      </c>
      <c r="G1125" s="43">
        <v>1.2</v>
      </c>
      <c r="H1125" s="193">
        <f>-G1125*F1125</f>
        <v>-2.16</v>
      </c>
    </row>
    <row r="1126" spans="2:8" s="89" customFormat="1" ht="15" x14ac:dyDescent="0.2">
      <c r="B1126" s="637"/>
      <c r="C1126" s="638"/>
      <c r="D1126" s="100" t="s">
        <v>801</v>
      </c>
      <c r="E1126" s="208" t="s">
        <v>17</v>
      </c>
      <c r="F1126" s="43">
        <v>0.6</v>
      </c>
      <c r="G1126" s="43">
        <v>1.8</v>
      </c>
      <c r="H1126" s="193">
        <f>-G1126*F1126*2</f>
        <v>-2.16</v>
      </c>
    </row>
    <row r="1127" spans="2:8" s="89" customFormat="1" ht="15" x14ac:dyDescent="0.2">
      <c r="B1127" s="637"/>
      <c r="C1127" s="638"/>
      <c r="D1127" s="100" t="s">
        <v>802</v>
      </c>
      <c r="E1127" s="208" t="s">
        <v>17</v>
      </c>
      <c r="F1127" s="43">
        <v>0.9</v>
      </c>
      <c r="G1127" s="43">
        <v>2.1</v>
      </c>
      <c r="H1127" s="193">
        <f>-G1127*F1127</f>
        <v>-1.8900000000000001</v>
      </c>
    </row>
    <row r="1128" spans="2:8" s="89" customFormat="1" ht="15" x14ac:dyDescent="0.25">
      <c r="B1128" s="637"/>
      <c r="C1128" s="638"/>
      <c r="D1128" s="363" t="s">
        <v>30</v>
      </c>
      <c r="E1128" s="208" t="s">
        <v>17</v>
      </c>
      <c r="F1128" s="342">
        <f>3.5*2+4.9*2</f>
        <v>16.8</v>
      </c>
      <c r="G1128" s="331">
        <v>3</v>
      </c>
      <c r="H1128" s="193">
        <f>G1128*F1128*2</f>
        <v>100.80000000000001</v>
      </c>
    </row>
    <row r="1129" spans="2:8" s="89" customFormat="1" ht="15" x14ac:dyDescent="0.25">
      <c r="B1129" s="637"/>
      <c r="C1129" s="638"/>
      <c r="D1129" s="41" t="s">
        <v>803</v>
      </c>
      <c r="E1129" s="208" t="s">
        <v>17</v>
      </c>
      <c r="F1129" s="341">
        <v>2</v>
      </c>
      <c r="G1129" s="333">
        <v>2.1</v>
      </c>
      <c r="H1129" s="330">
        <f>G1129*F1129</f>
        <v>4.2</v>
      </c>
    </row>
    <row r="1130" spans="2:8" s="89" customFormat="1" ht="15" x14ac:dyDescent="0.25">
      <c r="B1130" s="637"/>
      <c r="C1130" s="638"/>
      <c r="D1130" s="41" t="s">
        <v>83</v>
      </c>
      <c r="E1130" s="208" t="s">
        <v>17</v>
      </c>
      <c r="F1130" s="344">
        <v>3.2</v>
      </c>
      <c r="G1130" s="345">
        <v>2.7</v>
      </c>
      <c r="H1130" s="193">
        <f>G1130*F1130</f>
        <v>8.64</v>
      </c>
    </row>
    <row r="1131" spans="2:8" s="89" customFormat="1" ht="15" x14ac:dyDescent="0.25">
      <c r="B1131" s="637"/>
      <c r="C1131" s="638"/>
      <c r="D1131" s="41" t="s">
        <v>574</v>
      </c>
      <c r="E1131" s="208" t="s">
        <v>17</v>
      </c>
      <c r="F1131" s="343">
        <v>67.5</v>
      </c>
      <c r="G1131" s="333">
        <v>1</v>
      </c>
      <c r="H1131" s="330">
        <f>F1131</f>
        <v>67.5</v>
      </c>
    </row>
    <row r="1132" spans="2:8" s="89" customFormat="1" ht="15" x14ac:dyDescent="0.25">
      <c r="B1132" s="637"/>
      <c r="C1132" s="638"/>
      <c r="D1132" s="41" t="s">
        <v>573</v>
      </c>
      <c r="E1132" s="208" t="s">
        <v>17</v>
      </c>
      <c r="F1132" s="343">
        <v>16.25</v>
      </c>
      <c r="G1132" s="333">
        <v>1</v>
      </c>
      <c r="H1132" s="330">
        <f>F1132</f>
        <v>16.25</v>
      </c>
    </row>
    <row r="1133" spans="2:8" s="89" customFormat="1" ht="15" x14ac:dyDescent="0.25">
      <c r="B1133" s="637"/>
      <c r="C1133" s="638"/>
      <c r="D1133" s="45" t="s">
        <v>804</v>
      </c>
      <c r="E1133" s="208" t="s">
        <v>17</v>
      </c>
      <c r="F1133" s="346">
        <v>5</v>
      </c>
      <c r="G1133" s="346">
        <v>2</v>
      </c>
      <c r="H1133" s="330">
        <f>F1133*G1133</f>
        <v>10</v>
      </c>
    </row>
    <row r="1134" spans="2:8" s="89" customFormat="1" ht="31.5" x14ac:dyDescent="0.25">
      <c r="B1134" s="598" t="s">
        <v>805</v>
      </c>
      <c r="C1134" s="442">
        <v>201410</v>
      </c>
      <c r="D1134" s="52" t="s">
        <v>806</v>
      </c>
      <c r="E1134" s="99" t="s">
        <v>17</v>
      </c>
      <c r="F1134" s="340" t="s">
        <v>27</v>
      </c>
      <c r="G1134" s="340" t="s">
        <v>19</v>
      </c>
      <c r="H1134" s="192">
        <f>SUM(H1135:H1138)</f>
        <v>287.77499999999998</v>
      </c>
    </row>
    <row r="1135" spans="2:8" s="89" customFormat="1" ht="15" x14ac:dyDescent="0.25">
      <c r="B1135" s="639"/>
      <c r="C1135" s="640"/>
      <c r="D1135" s="114" t="s">
        <v>807</v>
      </c>
      <c r="E1135" s="140" t="s">
        <v>17</v>
      </c>
      <c r="F1135" s="166">
        <v>50</v>
      </c>
      <c r="G1135" s="165">
        <v>0.25</v>
      </c>
      <c r="H1135" s="199">
        <f>G1135*F1135</f>
        <v>12.5</v>
      </c>
    </row>
    <row r="1136" spans="2:8" s="89" customFormat="1" ht="15" x14ac:dyDescent="0.25">
      <c r="B1136" s="710"/>
      <c r="C1136" s="711"/>
      <c r="D1136" s="45" t="s">
        <v>683</v>
      </c>
      <c r="E1136" s="208" t="s">
        <v>17</v>
      </c>
      <c r="F1136" s="165">
        <f>19.55+12.85</f>
        <v>32.4</v>
      </c>
      <c r="G1136" s="209">
        <v>2.5</v>
      </c>
      <c r="H1136" s="199">
        <f t="shared" ref="H1136:H1138" si="33">G1136*F1136</f>
        <v>81</v>
      </c>
    </row>
    <row r="1137" spans="2:8" s="89" customFormat="1" ht="15" x14ac:dyDescent="0.25">
      <c r="B1137" s="710"/>
      <c r="C1137" s="711"/>
      <c r="D1137" s="45" t="s">
        <v>684</v>
      </c>
      <c r="E1137" s="208" t="s">
        <v>17</v>
      </c>
      <c r="F1137" s="165">
        <f>4.7+2.76+20.4</f>
        <v>27.86</v>
      </c>
      <c r="G1137" s="209">
        <v>2.5</v>
      </c>
      <c r="H1137" s="199">
        <f t="shared" si="33"/>
        <v>69.650000000000006</v>
      </c>
    </row>
    <row r="1138" spans="2:8" s="42" customFormat="1" ht="15" x14ac:dyDescent="0.25">
      <c r="B1138" s="712"/>
      <c r="C1138" s="713"/>
      <c r="D1138" s="45" t="s">
        <v>685</v>
      </c>
      <c r="E1138" s="208" t="s">
        <v>17</v>
      </c>
      <c r="F1138" s="165">
        <v>49.85</v>
      </c>
      <c r="G1138" s="209">
        <v>2.5</v>
      </c>
      <c r="H1138" s="199">
        <f t="shared" si="33"/>
        <v>124.625</v>
      </c>
    </row>
    <row r="1139" spans="2:8" s="42" customFormat="1" ht="15.75" x14ac:dyDescent="0.25">
      <c r="B1139" s="680" t="s">
        <v>808</v>
      </c>
      <c r="C1139" s="681"/>
      <c r="D1139" s="681"/>
      <c r="E1139" s="681"/>
      <c r="F1139" s="681"/>
      <c r="G1139" s="681"/>
      <c r="H1139" s="682"/>
    </row>
    <row r="1140" spans="2:8" s="42" customFormat="1" ht="15.75" x14ac:dyDescent="0.25">
      <c r="B1140" s="610">
        <v>16</v>
      </c>
      <c r="C1140" s="430">
        <v>220000</v>
      </c>
      <c r="D1140" s="720" t="s">
        <v>809</v>
      </c>
      <c r="E1140" s="681"/>
      <c r="F1140" s="681"/>
      <c r="G1140" s="721"/>
      <c r="H1140" s="195" t="s">
        <v>120</v>
      </c>
    </row>
    <row r="1141" spans="2:8" s="42" customFormat="1" ht="15.6" customHeight="1" x14ac:dyDescent="0.25">
      <c r="B1141" s="598" t="s">
        <v>810</v>
      </c>
      <c r="C1141" s="442">
        <v>220104</v>
      </c>
      <c r="D1141" s="52" t="s">
        <v>811</v>
      </c>
      <c r="E1141" s="99" t="s">
        <v>17</v>
      </c>
      <c r="F1141" s="360" t="s">
        <v>27</v>
      </c>
      <c r="G1141" s="360" t="s">
        <v>19</v>
      </c>
      <c r="H1141" s="192">
        <f>SUM(H1142:H1164)</f>
        <v>545.57250000000022</v>
      </c>
    </row>
    <row r="1142" spans="2:8" s="42" customFormat="1" ht="15" x14ac:dyDescent="0.25">
      <c r="B1142" s="652"/>
      <c r="C1142" s="673"/>
      <c r="D1142" s="204" t="s">
        <v>812</v>
      </c>
      <c r="E1142" s="208" t="s">
        <v>17</v>
      </c>
      <c r="F1142" s="359">
        <v>9.1</v>
      </c>
      <c r="G1142" s="359">
        <v>5.4</v>
      </c>
      <c r="H1142" s="330">
        <f>F1142*G1142</f>
        <v>49.14</v>
      </c>
    </row>
    <row r="1143" spans="2:8" s="42" customFormat="1" ht="15" x14ac:dyDescent="0.25">
      <c r="B1143" s="654"/>
      <c r="C1143" s="675"/>
      <c r="D1143" s="204" t="s">
        <v>353</v>
      </c>
      <c r="E1143" s="208" t="s">
        <v>17</v>
      </c>
      <c r="F1143" s="359">
        <v>3.5</v>
      </c>
      <c r="G1143" s="359">
        <v>2.2000000000000002</v>
      </c>
      <c r="H1143" s="330">
        <f t="shared" ref="H1143:H1163" si="34">F1143*G1143</f>
        <v>7.7000000000000011</v>
      </c>
    </row>
    <row r="1144" spans="2:8" s="42" customFormat="1" ht="15" x14ac:dyDescent="0.25">
      <c r="B1144" s="654"/>
      <c r="C1144" s="675"/>
      <c r="D1144" s="204" t="s">
        <v>572</v>
      </c>
      <c r="E1144" s="208" t="s">
        <v>17</v>
      </c>
      <c r="F1144" s="359">
        <v>2</v>
      </c>
      <c r="G1144" s="359">
        <v>2.7</v>
      </c>
      <c r="H1144" s="330">
        <f t="shared" si="34"/>
        <v>5.4</v>
      </c>
    </row>
    <row r="1145" spans="2:8" s="42" customFormat="1" ht="15" x14ac:dyDescent="0.25">
      <c r="B1145" s="654"/>
      <c r="C1145" s="675"/>
      <c r="D1145" s="204" t="s">
        <v>813</v>
      </c>
      <c r="E1145" s="208" t="s">
        <v>17</v>
      </c>
      <c r="F1145" s="359">
        <v>2.2000000000000002</v>
      </c>
      <c r="G1145" s="359">
        <v>1.4</v>
      </c>
      <c r="H1145" s="330">
        <f t="shared" si="34"/>
        <v>3.08</v>
      </c>
    </row>
    <row r="1146" spans="2:8" s="42" customFormat="1" ht="15" x14ac:dyDescent="0.25">
      <c r="B1146" s="654"/>
      <c r="C1146" s="675"/>
      <c r="D1146" s="204" t="s">
        <v>569</v>
      </c>
      <c r="E1146" s="208" t="s">
        <v>17</v>
      </c>
      <c r="F1146" s="359">
        <v>2.2000000000000002</v>
      </c>
      <c r="G1146" s="359">
        <v>1.4</v>
      </c>
      <c r="H1146" s="330">
        <f t="shared" si="34"/>
        <v>3.08</v>
      </c>
    </row>
    <row r="1147" spans="2:8" s="42" customFormat="1" ht="15" x14ac:dyDescent="0.25">
      <c r="B1147" s="654"/>
      <c r="C1147" s="675"/>
      <c r="D1147" s="204" t="s">
        <v>571</v>
      </c>
      <c r="E1147" s="208" t="s">
        <v>17</v>
      </c>
      <c r="F1147" s="359">
        <v>4.25</v>
      </c>
      <c r="G1147" s="359">
        <v>2.5</v>
      </c>
      <c r="H1147" s="330">
        <f t="shared" si="34"/>
        <v>10.625</v>
      </c>
    </row>
    <row r="1148" spans="2:8" s="42" customFormat="1" ht="15" x14ac:dyDescent="0.25">
      <c r="B1148" s="654"/>
      <c r="C1148" s="675"/>
      <c r="D1148" s="204" t="s">
        <v>331</v>
      </c>
      <c r="E1148" s="208" t="s">
        <v>17</v>
      </c>
      <c r="F1148" s="359">
        <v>8.9499999999999993</v>
      </c>
      <c r="G1148" s="359">
        <v>2.7</v>
      </c>
      <c r="H1148" s="330">
        <f t="shared" si="34"/>
        <v>24.164999999999999</v>
      </c>
    </row>
    <row r="1149" spans="2:8" s="42" customFormat="1" ht="15" x14ac:dyDescent="0.25">
      <c r="B1149" s="654"/>
      <c r="C1149" s="675"/>
      <c r="D1149" s="204" t="s">
        <v>814</v>
      </c>
      <c r="E1149" s="208" t="s">
        <v>17</v>
      </c>
      <c r="F1149" s="359">
        <v>2.2000000000000002</v>
      </c>
      <c r="G1149" s="359">
        <v>1</v>
      </c>
      <c r="H1149" s="330">
        <f t="shared" si="34"/>
        <v>2.2000000000000002</v>
      </c>
    </row>
    <row r="1150" spans="2:8" s="42" customFormat="1" ht="15" x14ac:dyDescent="0.25">
      <c r="B1150" s="654"/>
      <c r="C1150" s="675"/>
      <c r="D1150" s="204" t="s">
        <v>335</v>
      </c>
      <c r="E1150" s="208" t="s">
        <v>17</v>
      </c>
      <c r="F1150" s="359">
        <v>12.83</v>
      </c>
      <c r="G1150" s="359">
        <v>9.9499999999999993</v>
      </c>
      <c r="H1150" s="330">
        <f t="shared" si="34"/>
        <v>127.65849999999999</v>
      </c>
    </row>
    <row r="1151" spans="2:8" s="42" customFormat="1" ht="15" x14ac:dyDescent="0.25">
      <c r="B1151" s="654"/>
      <c r="C1151" s="675"/>
      <c r="D1151" s="204" t="s">
        <v>28</v>
      </c>
      <c r="E1151" s="208" t="s">
        <v>17</v>
      </c>
      <c r="F1151" s="359">
        <v>4.75</v>
      </c>
      <c r="G1151" s="359">
        <v>5.52</v>
      </c>
      <c r="H1151" s="330">
        <f t="shared" si="34"/>
        <v>26.22</v>
      </c>
    </row>
    <row r="1152" spans="2:8" s="42" customFormat="1" ht="15" x14ac:dyDescent="0.25">
      <c r="B1152" s="654"/>
      <c r="C1152" s="675"/>
      <c r="D1152" s="204" t="s">
        <v>21</v>
      </c>
      <c r="E1152" s="208" t="s">
        <v>17</v>
      </c>
      <c r="F1152" s="359">
        <v>4.75</v>
      </c>
      <c r="G1152" s="359">
        <v>5.52</v>
      </c>
      <c r="H1152" s="330">
        <f t="shared" si="34"/>
        <v>26.22</v>
      </c>
    </row>
    <row r="1153" spans="2:8" s="42" customFormat="1" ht="15" x14ac:dyDescent="0.25">
      <c r="B1153" s="654"/>
      <c r="C1153" s="675"/>
      <c r="D1153" s="204" t="s">
        <v>22</v>
      </c>
      <c r="E1153" s="208" t="s">
        <v>17</v>
      </c>
      <c r="F1153" s="359">
        <v>4.9000000000000004</v>
      </c>
      <c r="G1153" s="359">
        <v>6.5</v>
      </c>
      <c r="H1153" s="330">
        <f t="shared" si="34"/>
        <v>31.85</v>
      </c>
    </row>
    <row r="1154" spans="2:8" s="42" customFormat="1" ht="15" x14ac:dyDescent="0.25">
      <c r="B1154" s="654"/>
      <c r="C1154" s="675"/>
      <c r="D1154" s="204" t="s">
        <v>29</v>
      </c>
      <c r="E1154" s="208" t="s">
        <v>17</v>
      </c>
      <c r="F1154" s="359">
        <v>4.9000000000000004</v>
      </c>
      <c r="G1154" s="359">
        <v>7.26</v>
      </c>
      <c r="H1154" s="330">
        <f t="shared" si="34"/>
        <v>35.573999999999998</v>
      </c>
    </row>
    <row r="1155" spans="2:8" s="42" customFormat="1" ht="15" x14ac:dyDescent="0.2">
      <c r="B1155" s="654"/>
      <c r="C1155" s="675"/>
      <c r="D1155" s="362" t="s">
        <v>371</v>
      </c>
      <c r="E1155" s="208" t="s">
        <v>17</v>
      </c>
      <c r="F1155" s="359">
        <v>4.9000000000000004</v>
      </c>
      <c r="G1155" s="359">
        <v>3.5</v>
      </c>
      <c r="H1155" s="330">
        <f t="shared" si="34"/>
        <v>17.150000000000002</v>
      </c>
    </row>
    <row r="1156" spans="2:8" s="42" customFormat="1" ht="15" x14ac:dyDescent="0.25">
      <c r="B1156" s="654"/>
      <c r="C1156" s="675"/>
      <c r="D1156" s="204" t="s">
        <v>613</v>
      </c>
      <c r="E1156" s="208" t="s">
        <v>17</v>
      </c>
      <c r="F1156" s="359">
        <v>4.9000000000000004</v>
      </c>
      <c r="G1156" s="359">
        <v>7.25</v>
      </c>
      <c r="H1156" s="330">
        <f t="shared" si="34"/>
        <v>35.525000000000006</v>
      </c>
    </row>
    <row r="1157" spans="2:8" s="42" customFormat="1" ht="15" x14ac:dyDescent="0.25">
      <c r="B1157" s="654"/>
      <c r="C1157" s="675"/>
      <c r="D1157" s="204" t="s">
        <v>815</v>
      </c>
      <c r="E1157" s="208" t="s">
        <v>17</v>
      </c>
      <c r="F1157" s="361">
        <v>15.45</v>
      </c>
      <c r="G1157" s="361">
        <v>1.75</v>
      </c>
      <c r="H1157" s="330">
        <f t="shared" si="34"/>
        <v>27.037499999999998</v>
      </c>
    </row>
    <row r="1158" spans="2:8" s="42" customFormat="1" ht="15" x14ac:dyDescent="0.25">
      <c r="B1158" s="654"/>
      <c r="C1158" s="675"/>
      <c r="D1158" s="204" t="s">
        <v>816</v>
      </c>
      <c r="E1158" s="208" t="s">
        <v>17</v>
      </c>
      <c r="F1158" s="361">
        <v>17.88</v>
      </c>
      <c r="G1158" s="361">
        <v>1.85</v>
      </c>
      <c r="H1158" s="330">
        <f t="shared" si="34"/>
        <v>33.078000000000003</v>
      </c>
    </row>
    <row r="1159" spans="2:8" s="42" customFormat="1" ht="15" x14ac:dyDescent="0.25">
      <c r="B1159" s="654"/>
      <c r="C1159" s="675"/>
      <c r="D1159" s="204" t="s">
        <v>817</v>
      </c>
      <c r="E1159" s="208" t="s">
        <v>17</v>
      </c>
      <c r="F1159" s="361">
        <v>12.4</v>
      </c>
      <c r="G1159" s="361">
        <v>1.68</v>
      </c>
      <c r="H1159" s="330">
        <f t="shared" si="34"/>
        <v>20.832000000000001</v>
      </c>
    </row>
    <row r="1160" spans="2:8" s="42" customFormat="1" ht="15" x14ac:dyDescent="0.25">
      <c r="B1160" s="654"/>
      <c r="C1160" s="675"/>
      <c r="D1160" s="204" t="s">
        <v>818</v>
      </c>
      <c r="E1160" s="208" t="s">
        <v>17</v>
      </c>
      <c r="F1160" s="361">
        <v>23</v>
      </c>
      <c r="G1160" s="361">
        <v>1</v>
      </c>
      <c r="H1160" s="330">
        <f t="shared" si="34"/>
        <v>23</v>
      </c>
    </row>
    <row r="1161" spans="2:8" s="42" customFormat="1" ht="15" x14ac:dyDescent="0.25">
      <c r="B1161" s="654"/>
      <c r="C1161" s="675"/>
      <c r="D1161" s="204" t="s">
        <v>819</v>
      </c>
      <c r="E1161" s="208" t="s">
        <v>17</v>
      </c>
      <c r="F1161" s="361">
        <v>8.25</v>
      </c>
      <c r="G1161" s="361">
        <v>1</v>
      </c>
      <c r="H1161" s="330">
        <f t="shared" ref="H1161" si="35">F1161*G1161</f>
        <v>8.25</v>
      </c>
    </row>
    <row r="1162" spans="2:8" s="42" customFormat="1" ht="15" x14ac:dyDescent="0.25">
      <c r="B1162" s="654"/>
      <c r="C1162" s="675"/>
      <c r="D1162" s="204" t="s">
        <v>820</v>
      </c>
      <c r="E1162" s="208" t="s">
        <v>17</v>
      </c>
      <c r="F1162" s="361">
        <v>8.6999999999999993</v>
      </c>
      <c r="G1162" s="361">
        <v>1</v>
      </c>
      <c r="H1162" s="330">
        <f t="shared" si="34"/>
        <v>8.6999999999999993</v>
      </c>
    </row>
    <row r="1163" spans="2:8" s="42" customFormat="1" ht="15" x14ac:dyDescent="0.25">
      <c r="B1163" s="654"/>
      <c r="C1163" s="675"/>
      <c r="D1163" s="529" t="s">
        <v>347</v>
      </c>
      <c r="E1163" s="208" t="s">
        <v>17</v>
      </c>
      <c r="F1163" s="359">
        <v>1.65</v>
      </c>
      <c r="G1163" s="359">
        <v>1.75</v>
      </c>
      <c r="H1163" s="330">
        <f t="shared" si="34"/>
        <v>2.8874999999999997</v>
      </c>
    </row>
    <row r="1164" spans="2:8" s="42" customFormat="1" ht="15" x14ac:dyDescent="0.25">
      <c r="B1164" s="656"/>
      <c r="C1164" s="657"/>
      <c r="D1164" s="528" t="s">
        <v>821</v>
      </c>
      <c r="E1164" s="460" t="s">
        <v>17</v>
      </c>
      <c r="F1164" s="359">
        <v>27</v>
      </c>
      <c r="G1164" s="359">
        <v>0.6</v>
      </c>
      <c r="H1164" s="330">
        <f t="shared" ref="H1164" si="36">F1164*G1164</f>
        <v>16.2</v>
      </c>
    </row>
    <row r="1165" spans="2:8" s="42" customFormat="1" ht="29.25" customHeight="1" x14ac:dyDescent="0.25">
      <c r="B1165" s="598" t="s">
        <v>822</v>
      </c>
      <c r="C1165" s="442">
        <v>220311</v>
      </c>
      <c r="D1165" s="530" t="s">
        <v>823</v>
      </c>
      <c r="E1165" s="99" t="s">
        <v>17</v>
      </c>
      <c r="F1165" s="360" t="s">
        <v>27</v>
      </c>
      <c r="G1165" s="360" t="s">
        <v>19</v>
      </c>
      <c r="H1165" s="192">
        <f>SUM(H1166:H1179)</f>
        <v>278.61649999999997</v>
      </c>
    </row>
    <row r="1166" spans="2:8" s="42" customFormat="1" ht="15" x14ac:dyDescent="0.25">
      <c r="B1166" s="613"/>
      <c r="C1166" s="614"/>
      <c r="D1166" s="204" t="s">
        <v>812</v>
      </c>
      <c r="E1166" s="140" t="s">
        <v>17</v>
      </c>
      <c r="F1166" s="359">
        <v>9.1</v>
      </c>
      <c r="G1166" s="359">
        <v>5.4</v>
      </c>
      <c r="H1166" s="330">
        <f>F1166*G1166</f>
        <v>49.14</v>
      </c>
    </row>
    <row r="1167" spans="2:8" s="42" customFormat="1" ht="15" x14ac:dyDescent="0.25">
      <c r="B1167" s="599"/>
      <c r="C1167" s="600"/>
      <c r="D1167" s="204" t="s">
        <v>353</v>
      </c>
      <c r="E1167" s="140" t="s">
        <v>17</v>
      </c>
      <c r="F1167" s="359">
        <v>3.5</v>
      </c>
      <c r="G1167" s="359">
        <v>2.2000000000000002</v>
      </c>
      <c r="H1167" s="330">
        <f t="shared" ref="H1167:H1172" si="37">F1167*G1167</f>
        <v>7.7000000000000011</v>
      </c>
    </row>
    <row r="1168" spans="2:8" s="42" customFormat="1" ht="15" x14ac:dyDescent="0.25">
      <c r="B1168" s="599"/>
      <c r="C1168" s="600"/>
      <c r="D1168" s="204" t="s">
        <v>572</v>
      </c>
      <c r="E1168" s="140" t="s">
        <v>17</v>
      </c>
      <c r="F1168" s="359">
        <v>2</v>
      </c>
      <c r="G1168" s="359">
        <v>2.7</v>
      </c>
      <c r="H1168" s="330">
        <f t="shared" si="37"/>
        <v>5.4</v>
      </c>
    </row>
    <row r="1169" spans="2:8" s="42" customFormat="1" ht="15" x14ac:dyDescent="0.25">
      <c r="B1169" s="599"/>
      <c r="C1169" s="600"/>
      <c r="D1169" s="204" t="s">
        <v>813</v>
      </c>
      <c r="E1169" s="140" t="s">
        <v>17</v>
      </c>
      <c r="F1169" s="359">
        <v>2.2000000000000002</v>
      </c>
      <c r="G1169" s="359">
        <v>1.4</v>
      </c>
      <c r="H1169" s="330">
        <f t="shared" si="37"/>
        <v>3.08</v>
      </c>
    </row>
    <row r="1170" spans="2:8" s="42" customFormat="1" ht="15" x14ac:dyDescent="0.25">
      <c r="B1170" s="599"/>
      <c r="C1170" s="600"/>
      <c r="D1170" s="204" t="s">
        <v>569</v>
      </c>
      <c r="E1170" s="140" t="s">
        <v>17</v>
      </c>
      <c r="F1170" s="359">
        <v>2.2000000000000002</v>
      </c>
      <c r="G1170" s="359">
        <v>1.4</v>
      </c>
      <c r="H1170" s="330">
        <f t="shared" si="37"/>
        <v>3.08</v>
      </c>
    </row>
    <row r="1171" spans="2:8" s="42" customFormat="1" ht="15" x14ac:dyDescent="0.25">
      <c r="B1171" s="599"/>
      <c r="C1171" s="600"/>
      <c r="D1171" s="204" t="s">
        <v>571</v>
      </c>
      <c r="E1171" s="140" t="s">
        <v>17</v>
      </c>
      <c r="F1171" s="359">
        <v>4.25</v>
      </c>
      <c r="G1171" s="359">
        <v>2.5</v>
      </c>
      <c r="H1171" s="330">
        <f t="shared" si="37"/>
        <v>10.625</v>
      </c>
    </row>
    <row r="1172" spans="2:8" s="42" customFormat="1" ht="15" x14ac:dyDescent="0.25">
      <c r="B1172" s="599"/>
      <c r="C1172" s="600"/>
      <c r="D1172" s="204" t="s">
        <v>331</v>
      </c>
      <c r="E1172" s="140" t="s">
        <v>17</v>
      </c>
      <c r="F1172" s="359">
        <v>8.9499999999999993</v>
      </c>
      <c r="G1172" s="359">
        <v>2.7</v>
      </c>
      <c r="H1172" s="330">
        <f t="shared" si="37"/>
        <v>24.164999999999999</v>
      </c>
    </row>
    <row r="1173" spans="2:8" s="42" customFormat="1" ht="15" x14ac:dyDescent="0.25">
      <c r="B1173" s="599"/>
      <c r="C1173" s="600"/>
      <c r="D1173" s="204" t="s">
        <v>28</v>
      </c>
      <c r="E1173" s="140" t="s">
        <v>17</v>
      </c>
      <c r="F1173" s="359">
        <v>4.75</v>
      </c>
      <c r="G1173" s="359">
        <v>5.52</v>
      </c>
      <c r="H1173" s="330">
        <f t="shared" ref="H1173:H1178" si="38">F1173*G1173</f>
        <v>26.22</v>
      </c>
    </row>
    <row r="1174" spans="2:8" s="42" customFormat="1" ht="15" x14ac:dyDescent="0.25">
      <c r="B1174" s="599"/>
      <c r="C1174" s="600"/>
      <c r="D1174" s="204" t="s">
        <v>21</v>
      </c>
      <c r="E1174" s="140" t="s">
        <v>17</v>
      </c>
      <c r="F1174" s="359">
        <v>4.75</v>
      </c>
      <c r="G1174" s="359">
        <v>5.52</v>
      </c>
      <c r="H1174" s="330">
        <f t="shared" si="38"/>
        <v>26.22</v>
      </c>
    </row>
    <row r="1175" spans="2:8" s="42" customFormat="1" ht="15" x14ac:dyDescent="0.25">
      <c r="B1175" s="599"/>
      <c r="C1175" s="600"/>
      <c r="D1175" s="204" t="s">
        <v>22</v>
      </c>
      <c r="E1175" s="140" t="s">
        <v>17</v>
      </c>
      <c r="F1175" s="359">
        <v>4.9000000000000004</v>
      </c>
      <c r="G1175" s="359">
        <v>6.5</v>
      </c>
      <c r="H1175" s="330">
        <f t="shared" si="38"/>
        <v>31.85</v>
      </c>
    </row>
    <row r="1176" spans="2:8" s="42" customFormat="1" ht="15" x14ac:dyDescent="0.25">
      <c r="B1176" s="599"/>
      <c r="C1176" s="600"/>
      <c r="D1176" s="204" t="s">
        <v>29</v>
      </c>
      <c r="E1176" s="140" t="s">
        <v>17</v>
      </c>
      <c r="F1176" s="359">
        <v>4.9000000000000004</v>
      </c>
      <c r="G1176" s="359">
        <v>7.26</v>
      </c>
      <c r="H1176" s="330">
        <f t="shared" si="38"/>
        <v>35.573999999999998</v>
      </c>
    </row>
    <row r="1177" spans="2:8" s="42" customFormat="1" ht="15" x14ac:dyDescent="0.25">
      <c r="B1177" s="599"/>
      <c r="C1177" s="600"/>
      <c r="D1177" s="363" t="s">
        <v>644</v>
      </c>
      <c r="E1177" s="140" t="s">
        <v>17</v>
      </c>
      <c r="F1177" s="359">
        <v>4.9000000000000004</v>
      </c>
      <c r="G1177" s="359">
        <v>3.5</v>
      </c>
      <c r="H1177" s="330">
        <f t="shared" si="38"/>
        <v>17.150000000000002</v>
      </c>
    </row>
    <row r="1178" spans="2:8" s="42" customFormat="1" ht="15" x14ac:dyDescent="0.25">
      <c r="B1178" s="599"/>
      <c r="C1178" s="600"/>
      <c r="D1178" s="204" t="s">
        <v>613</v>
      </c>
      <c r="E1178" s="140" t="s">
        <v>17</v>
      </c>
      <c r="F1178" s="359">
        <v>4.9000000000000004</v>
      </c>
      <c r="G1178" s="359">
        <v>7.25</v>
      </c>
      <c r="H1178" s="330">
        <f t="shared" si="38"/>
        <v>35.525000000000006</v>
      </c>
    </row>
    <row r="1179" spans="2:8" s="42" customFormat="1" ht="15" x14ac:dyDescent="0.25">
      <c r="B1179" s="599"/>
      <c r="C1179" s="632"/>
      <c r="D1179" s="204" t="s">
        <v>347</v>
      </c>
      <c r="E1179" s="208" t="s">
        <v>17</v>
      </c>
      <c r="F1179" s="359">
        <v>1.65</v>
      </c>
      <c r="G1179" s="359">
        <v>1.75</v>
      </c>
      <c r="H1179" s="330">
        <f t="shared" ref="H1179:H1182" si="39">F1179*G1179</f>
        <v>2.8874999999999997</v>
      </c>
    </row>
    <row r="1180" spans="2:8" s="42" customFormat="1" ht="15.75" x14ac:dyDescent="0.25">
      <c r="B1180" s="598" t="s">
        <v>824</v>
      </c>
      <c r="C1180" s="442">
        <v>221101</v>
      </c>
      <c r="D1180" s="52" t="s">
        <v>825</v>
      </c>
      <c r="E1180" s="99" t="s">
        <v>826</v>
      </c>
      <c r="F1180" s="360" t="s">
        <v>27</v>
      </c>
      <c r="G1180" s="360" t="s">
        <v>19</v>
      </c>
      <c r="H1180" s="192">
        <f>SUM(H1181:H1182)</f>
        <v>248.36360000000002</v>
      </c>
    </row>
    <row r="1181" spans="2:8" s="42" customFormat="1" ht="15" x14ac:dyDescent="0.25">
      <c r="B1181" s="668"/>
      <c r="C1181" s="669"/>
      <c r="D1181" s="366" t="s">
        <v>827</v>
      </c>
      <c r="E1181" s="140" t="s">
        <v>17</v>
      </c>
      <c r="F1181" s="367">
        <v>17.170000000000002</v>
      </c>
      <c r="G1181" s="368">
        <v>7.03</v>
      </c>
      <c r="H1181" s="330">
        <f t="shared" si="39"/>
        <v>120.70510000000002</v>
      </c>
    </row>
    <row r="1182" spans="2:8" s="42" customFormat="1" ht="15" x14ac:dyDescent="0.25">
      <c r="B1182" s="668"/>
      <c r="C1182" s="669"/>
      <c r="D1182" s="366" t="s">
        <v>335</v>
      </c>
      <c r="E1182" s="208" t="s">
        <v>17</v>
      </c>
      <c r="F1182" s="359">
        <v>12.83</v>
      </c>
      <c r="G1182" s="369">
        <v>9.9499999999999993</v>
      </c>
      <c r="H1182" s="330">
        <f t="shared" si="39"/>
        <v>127.65849999999999</v>
      </c>
    </row>
    <row r="1183" spans="2:8" s="42" customFormat="1" ht="15.75" x14ac:dyDescent="0.25">
      <c r="B1183" s="598" t="s">
        <v>828</v>
      </c>
      <c r="C1183" s="442">
        <v>220920</v>
      </c>
      <c r="D1183" s="52" t="s">
        <v>829</v>
      </c>
      <c r="E1183" s="99" t="s">
        <v>17</v>
      </c>
      <c r="F1183" s="340" t="s">
        <v>27</v>
      </c>
      <c r="G1183" s="164" t="s">
        <v>19</v>
      </c>
      <c r="H1183" s="192">
        <f>SUM(H1184:H1193)+H1194+H1200+H1204</f>
        <v>3.4049999999999998</v>
      </c>
    </row>
    <row r="1184" spans="2:8" s="42" customFormat="1" ht="15" x14ac:dyDescent="0.25">
      <c r="B1184" s="652"/>
      <c r="C1184" s="673"/>
      <c r="D1184" s="45" t="s">
        <v>812</v>
      </c>
      <c r="E1184" s="140" t="s">
        <v>17</v>
      </c>
      <c r="F1184" s="43">
        <v>1</v>
      </c>
      <c r="G1184" s="43">
        <v>0.15</v>
      </c>
      <c r="H1184" s="193">
        <f t="shared" ref="H1184:H1193" si="40">G1184*F1184</f>
        <v>0.15</v>
      </c>
    </row>
    <row r="1185" spans="2:8" s="42" customFormat="1" ht="15" x14ac:dyDescent="0.25">
      <c r="B1185" s="654"/>
      <c r="C1185" s="675"/>
      <c r="D1185" s="45" t="s">
        <v>353</v>
      </c>
      <c r="E1185" s="140" t="s">
        <v>17</v>
      </c>
      <c r="F1185" s="43">
        <v>0.8</v>
      </c>
      <c r="G1185" s="43">
        <v>0.15</v>
      </c>
      <c r="H1185" s="193">
        <f t="shared" si="40"/>
        <v>0.12</v>
      </c>
    </row>
    <row r="1186" spans="2:8" s="42" customFormat="1" ht="15" x14ac:dyDescent="0.25">
      <c r="B1186" s="654"/>
      <c r="C1186" s="675"/>
      <c r="D1186" s="45" t="s">
        <v>572</v>
      </c>
      <c r="E1186" s="140" t="s">
        <v>17</v>
      </c>
      <c r="F1186" s="43">
        <v>0.8</v>
      </c>
      <c r="G1186" s="43">
        <v>0.15</v>
      </c>
      <c r="H1186" s="193">
        <f>G1186*F1186*2</f>
        <v>0.24</v>
      </c>
    </row>
    <row r="1187" spans="2:8" s="42" customFormat="1" ht="15" x14ac:dyDescent="0.25">
      <c r="B1187" s="654"/>
      <c r="C1187" s="675"/>
      <c r="D1187" s="45" t="s">
        <v>813</v>
      </c>
      <c r="E1187" s="140" t="s">
        <v>17</v>
      </c>
      <c r="F1187" s="43">
        <v>0.7</v>
      </c>
      <c r="G1187" s="43">
        <v>0.15</v>
      </c>
      <c r="H1187" s="193">
        <f t="shared" si="40"/>
        <v>0.105</v>
      </c>
    </row>
    <row r="1188" spans="2:8" s="42" customFormat="1" ht="15" x14ac:dyDescent="0.25">
      <c r="B1188" s="654"/>
      <c r="C1188" s="675"/>
      <c r="D1188" s="45" t="s">
        <v>569</v>
      </c>
      <c r="E1188" s="140" t="s">
        <v>17</v>
      </c>
      <c r="F1188" s="43">
        <v>0.7</v>
      </c>
      <c r="G1188" s="43">
        <v>0.15</v>
      </c>
      <c r="H1188" s="193">
        <f t="shared" si="40"/>
        <v>0.105</v>
      </c>
    </row>
    <row r="1189" spans="2:8" s="42" customFormat="1" ht="15" x14ac:dyDescent="0.25">
      <c r="B1189" s="654"/>
      <c r="C1189" s="675"/>
      <c r="D1189" s="45" t="s">
        <v>571</v>
      </c>
      <c r="E1189" s="140" t="s">
        <v>17</v>
      </c>
      <c r="F1189" s="43">
        <v>0.8</v>
      </c>
      <c r="G1189" s="43">
        <v>0.15</v>
      </c>
      <c r="H1189" s="193">
        <f t="shared" si="40"/>
        <v>0.12</v>
      </c>
    </row>
    <row r="1190" spans="2:8" s="42" customFormat="1" ht="15" x14ac:dyDescent="0.25">
      <c r="B1190" s="654"/>
      <c r="C1190" s="675"/>
      <c r="D1190" s="204" t="s">
        <v>331</v>
      </c>
      <c r="E1190" s="140" t="s">
        <v>17</v>
      </c>
      <c r="F1190" s="43">
        <v>1</v>
      </c>
      <c r="G1190" s="43">
        <v>0.15</v>
      </c>
      <c r="H1190" s="193">
        <f t="shared" si="40"/>
        <v>0.15</v>
      </c>
    </row>
    <row r="1191" spans="2:8" s="42" customFormat="1" ht="15" x14ac:dyDescent="0.25">
      <c r="B1191" s="654"/>
      <c r="C1191" s="675"/>
      <c r="D1191" s="45" t="s">
        <v>814</v>
      </c>
      <c r="E1191" s="140" t="s">
        <v>17</v>
      </c>
      <c r="F1191" s="43">
        <v>0.8</v>
      </c>
      <c r="G1191" s="43">
        <v>0.15</v>
      </c>
      <c r="H1191" s="193">
        <f t="shared" si="40"/>
        <v>0.12</v>
      </c>
    </row>
    <row r="1192" spans="2:8" s="42" customFormat="1" ht="15" x14ac:dyDescent="0.25">
      <c r="B1192" s="654"/>
      <c r="C1192" s="675"/>
      <c r="D1192" s="45" t="s">
        <v>28</v>
      </c>
      <c r="E1192" s="140" t="s">
        <v>17</v>
      </c>
      <c r="F1192" s="43">
        <v>0.9</v>
      </c>
      <c r="G1192" s="43">
        <v>0.15</v>
      </c>
      <c r="H1192" s="193">
        <f t="shared" si="40"/>
        <v>0.13500000000000001</v>
      </c>
    </row>
    <row r="1193" spans="2:8" s="42" customFormat="1" ht="15" x14ac:dyDescent="0.25">
      <c r="B1193" s="654"/>
      <c r="C1193" s="675"/>
      <c r="D1193" s="45" t="s">
        <v>21</v>
      </c>
      <c r="E1193" s="140" t="s">
        <v>17</v>
      </c>
      <c r="F1193" s="43">
        <v>0.9</v>
      </c>
      <c r="G1193" s="43">
        <v>0.15</v>
      </c>
      <c r="H1193" s="193">
        <f t="shared" si="40"/>
        <v>0.13500000000000001</v>
      </c>
    </row>
    <row r="1194" spans="2:8" s="42" customFormat="1" ht="15.75" x14ac:dyDescent="0.25">
      <c r="B1194" s="654"/>
      <c r="C1194" s="675"/>
      <c r="D1194" s="45" t="s">
        <v>22</v>
      </c>
      <c r="E1194" s="140" t="s">
        <v>17</v>
      </c>
      <c r="F1194" s="164" t="s">
        <v>27</v>
      </c>
      <c r="G1194" s="164" t="s">
        <v>19</v>
      </c>
      <c r="H1194" s="192">
        <f>SUM(H1195:H1199)</f>
        <v>0.85500000000000009</v>
      </c>
    </row>
    <row r="1195" spans="2:8" s="42" customFormat="1" ht="15" x14ac:dyDescent="0.25">
      <c r="B1195" s="654"/>
      <c r="C1195" s="675"/>
      <c r="D1195" s="45" t="s">
        <v>830</v>
      </c>
      <c r="E1195" s="140" t="s">
        <v>17</v>
      </c>
      <c r="F1195" s="43">
        <v>0.9</v>
      </c>
      <c r="G1195" s="43">
        <v>0.15</v>
      </c>
      <c r="H1195" s="193">
        <f>G1195*F1195</f>
        <v>0.13500000000000001</v>
      </c>
    </row>
    <row r="1196" spans="2:8" s="42" customFormat="1" ht="15" x14ac:dyDescent="0.25">
      <c r="B1196" s="654"/>
      <c r="C1196" s="655"/>
      <c r="D1196" s="435" t="s">
        <v>831</v>
      </c>
      <c r="E1196" s="140" t="s">
        <v>17</v>
      </c>
      <c r="F1196" s="43">
        <v>2</v>
      </c>
      <c r="G1196" s="43">
        <v>0.15</v>
      </c>
      <c r="H1196" s="193">
        <f>G1196*F1196</f>
        <v>0.3</v>
      </c>
    </row>
    <row r="1197" spans="2:8" s="42" customFormat="1" ht="15" x14ac:dyDescent="0.25">
      <c r="B1197" s="654"/>
      <c r="C1197" s="655"/>
      <c r="D1197" s="431" t="s">
        <v>727</v>
      </c>
      <c r="E1197" s="429" t="s">
        <v>17</v>
      </c>
      <c r="F1197" s="43">
        <v>0.9</v>
      </c>
      <c r="G1197" s="43">
        <v>0.15</v>
      </c>
      <c r="H1197" s="193">
        <f>G1197*F1197</f>
        <v>0.13500000000000001</v>
      </c>
    </row>
    <row r="1198" spans="2:8" s="42" customFormat="1" ht="15" x14ac:dyDescent="0.25">
      <c r="B1198" s="654"/>
      <c r="C1198" s="655"/>
      <c r="D1198" s="431" t="s">
        <v>725</v>
      </c>
      <c r="E1198" s="429" t="s">
        <v>17</v>
      </c>
      <c r="F1198" s="43">
        <v>0.9</v>
      </c>
      <c r="G1198" s="43">
        <v>0.15</v>
      </c>
      <c r="H1198" s="193">
        <f>G1198*F1198</f>
        <v>0.13500000000000001</v>
      </c>
    </row>
    <row r="1199" spans="2:8" s="42" customFormat="1" ht="15" x14ac:dyDescent="0.25">
      <c r="B1199" s="654"/>
      <c r="C1199" s="655"/>
      <c r="D1199" s="436" t="s">
        <v>347</v>
      </c>
      <c r="E1199" s="140" t="s">
        <v>17</v>
      </c>
      <c r="F1199" s="43">
        <v>1</v>
      </c>
      <c r="G1199" s="43">
        <v>0.15</v>
      </c>
      <c r="H1199" s="193">
        <f>G1199*F1199</f>
        <v>0.15</v>
      </c>
    </row>
    <row r="1200" spans="2:8" s="42" customFormat="1" ht="15.75" x14ac:dyDescent="0.25">
      <c r="B1200" s="654"/>
      <c r="C1200" s="655"/>
      <c r="D1200" s="348" t="s">
        <v>29</v>
      </c>
      <c r="E1200" s="140" t="s">
        <v>17</v>
      </c>
      <c r="F1200" s="164" t="s">
        <v>27</v>
      </c>
      <c r="G1200" s="164" t="s">
        <v>19</v>
      </c>
      <c r="H1200" s="192">
        <f>SUM(H1201:H1203)</f>
        <v>0.73499999999999999</v>
      </c>
    </row>
    <row r="1201" spans="2:8" s="42" customFormat="1" ht="15" x14ac:dyDescent="0.25">
      <c r="B1201" s="654"/>
      <c r="C1201" s="655"/>
      <c r="D1201" s="348" t="s">
        <v>830</v>
      </c>
      <c r="E1201" s="140" t="s">
        <v>17</v>
      </c>
      <c r="F1201" s="43">
        <v>0.9</v>
      </c>
      <c r="G1201" s="43">
        <v>0.15</v>
      </c>
      <c r="H1201" s="193">
        <f>G1201*F1201</f>
        <v>0.13500000000000001</v>
      </c>
    </row>
    <row r="1202" spans="2:8" s="42" customFormat="1" ht="15" x14ac:dyDescent="0.25">
      <c r="B1202" s="654"/>
      <c r="C1202" s="655"/>
      <c r="D1202" s="348" t="s">
        <v>831</v>
      </c>
      <c r="E1202" s="140" t="s">
        <v>17</v>
      </c>
      <c r="F1202" s="43">
        <v>2</v>
      </c>
      <c r="G1202" s="43">
        <v>0.15</v>
      </c>
      <c r="H1202" s="193">
        <f>G1202*F1202</f>
        <v>0.3</v>
      </c>
    </row>
    <row r="1203" spans="2:8" s="42" customFormat="1" ht="15" x14ac:dyDescent="0.25">
      <c r="B1203" s="654"/>
      <c r="C1203" s="655"/>
      <c r="D1203" s="364" t="s">
        <v>30</v>
      </c>
      <c r="E1203" s="140" t="s">
        <v>17</v>
      </c>
      <c r="F1203" s="43">
        <v>1</v>
      </c>
      <c r="G1203" s="43">
        <v>0.15</v>
      </c>
      <c r="H1203" s="193">
        <f>G1203*F1203*2</f>
        <v>0.3</v>
      </c>
    </row>
    <row r="1204" spans="2:8" s="42" customFormat="1" ht="15.75" x14ac:dyDescent="0.25">
      <c r="B1204" s="654"/>
      <c r="C1204" s="655"/>
      <c r="D1204" s="348" t="s">
        <v>613</v>
      </c>
      <c r="E1204" s="140" t="s">
        <v>17</v>
      </c>
      <c r="F1204" s="164" t="s">
        <v>27</v>
      </c>
      <c r="G1204" s="164" t="s">
        <v>19</v>
      </c>
      <c r="H1204" s="192">
        <f>SUM(H1205:H1206)</f>
        <v>0.435</v>
      </c>
    </row>
    <row r="1205" spans="2:8" s="42" customFormat="1" ht="15" x14ac:dyDescent="0.25">
      <c r="B1205" s="654"/>
      <c r="C1205" s="655"/>
      <c r="D1205" s="348" t="s">
        <v>830</v>
      </c>
      <c r="E1205" s="140" t="s">
        <v>17</v>
      </c>
      <c r="F1205" s="43">
        <v>0.9</v>
      </c>
      <c r="G1205" s="43">
        <v>0.15</v>
      </c>
      <c r="H1205" s="193">
        <f>G1205*F1205</f>
        <v>0.13500000000000001</v>
      </c>
    </row>
    <row r="1206" spans="2:8" s="42" customFormat="1" ht="15" x14ac:dyDescent="0.25">
      <c r="B1206" s="656"/>
      <c r="C1206" s="657"/>
      <c r="D1206" s="348" t="s">
        <v>831</v>
      </c>
      <c r="E1206" s="140" t="s">
        <v>17</v>
      </c>
      <c r="F1206" s="43">
        <v>2</v>
      </c>
      <c r="G1206" s="43">
        <v>0.15</v>
      </c>
      <c r="H1206" s="193">
        <f>G1206*F1206</f>
        <v>0.3</v>
      </c>
    </row>
    <row r="1207" spans="2:8" s="42" customFormat="1" ht="15.75" x14ac:dyDescent="0.25">
      <c r="B1207" s="598" t="s">
        <v>832</v>
      </c>
      <c r="C1207" s="442">
        <v>220312</v>
      </c>
      <c r="D1207" s="52" t="s">
        <v>833</v>
      </c>
      <c r="E1207" s="99" t="s">
        <v>63</v>
      </c>
      <c r="F1207" s="671" t="s">
        <v>27</v>
      </c>
      <c r="G1207" s="671"/>
      <c r="H1207" s="192">
        <f>SUM(H1208:H1221)</f>
        <v>115.81</v>
      </c>
    </row>
    <row r="1208" spans="2:8" s="42" customFormat="1" ht="15" x14ac:dyDescent="0.25">
      <c r="B1208" s="652"/>
      <c r="C1208" s="653"/>
      <c r="D1208" s="45" t="s">
        <v>812</v>
      </c>
      <c r="E1208" s="140" t="s">
        <v>63</v>
      </c>
      <c r="F1208" s="692">
        <f>1.8+1+1+1.8+1.6+1.9+3.5</f>
        <v>12.6</v>
      </c>
      <c r="G1208" s="692"/>
      <c r="H1208" s="193">
        <f t="shared" ref="H1208:H1216" si="41">F1208</f>
        <v>12.6</v>
      </c>
    </row>
    <row r="1209" spans="2:8" s="42" customFormat="1" ht="15" x14ac:dyDescent="0.25">
      <c r="B1209" s="654"/>
      <c r="C1209" s="655"/>
      <c r="D1209" s="45" t="s">
        <v>834</v>
      </c>
      <c r="E1209" s="140" t="s">
        <v>63</v>
      </c>
      <c r="F1209" s="692">
        <v>1.8</v>
      </c>
      <c r="G1209" s="692"/>
      <c r="H1209" s="193">
        <f>-F1209*2</f>
        <v>-3.6</v>
      </c>
    </row>
    <row r="1210" spans="2:8" s="42" customFormat="1" ht="15" x14ac:dyDescent="0.25">
      <c r="B1210" s="654"/>
      <c r="C1210" s="655"/>
      <c r="D1210" s="45" t="s">
        <v>353</v>
      </c>
      <c r="E1210" s="140" t="s">
        <v>63</v>
      </c>
      <c r="F1210" s="692">
        <f>2.2+3.5+3.5+2.2</f>
        <v>11.399999999999999</v>
      </c>
      <c r="G1210" s="692"/>
      <c r="H1210" s="193">
        <f t="shared" si="41"/>
        <v>11.399999999999999</v>
      </c>
    </row>
    <row r="1211" spans="2:8" s="42" customFormat="1" ht="15" x14ac:dyDescent="0.25">
      <c r="B1211" s="654"/>
      <c r="C1211" s="655"/>
      <c r="D1211" s="45" t="s">
        <v>835</v>
      </c>
      <c r="E1211" s="140" t="s">
        <v>63</v>
      </c>
      <c r="F1211" s="692">
        <v>0.8</v>
      </c>
      <c r="G1211" s="692"/>
      <c r="H1211" s="193">
        <f>-F1211</f>
        <v>-0.8</v>
      </c>
    </row>
    <row r="1212" spans="2:8" s="42" customFormat="1" ht="15" x14ac:dyDescent="0.25">
      <c r="B1212" s="654"/>
      <c r="C1212" s="655"/>
      <c r="D1212" s="45" t="s">
        <v>572</v>
      </c>
      <c r="E1212" s="140" t="s">
        <v>63</v>
      </c>
      <c r="F1212" s="708">
        <f>-4*0.8</f>
        <v>-3.2</v>
      </c>
      <c r="G1212" s="709"/>
      <c r="H1212" s="193">
        <f t="shared" si="41"/>
        <v>-3.2</v>
      </c>
    </row>
    <row r="1213" spans="2:8" s="42" customFormat="1" ht="15" x14ac:dyDescent="0.25">
      <c r="B1213" s="654"/>
      <c r="C1213" s="655"/>
      <c r="D1213" s="45" t="s">
        <v>836</v>
      </c>
      <c r="E1213" s="140" t="s">
        <v>63</v>
      </c>
      <c r="F1213" s="692">
        <f>-1*1</f>
        <v>-1</v>
      </c>
      <c r="G1213" s="692"/>
      <c r="H1213" s="193">
        <f>F1213*2</f>
        <v>-2</v>
      </c>
    </row>
    <row r="1214" spans="2:8" s="42" customFormat="1" ht="15" x14ac:dyDescent="0.25">
      <c r="B1214" s="654"/>
      <c r="C1214" s="655"/>
      <c r="D1214" s="45" t="s">
        <v>571</v>
      </c>
      <c r="E1214" s="140" t="s">
        <v>63</v>
      </c>
      <c r="F1214" s="692">
        <f>4.25*2+2.5*2</f>
        <v>13.5</v>
      </c>
      <c r="G1214" s="692"/>
      <c r="H1214" s="193">
        <f t="shared" si="41"/>
        <v>13.5</v>
      </c>
    </row>
    <row r="1215" spans="2:8" s="42" customFormat="1" ht="15" x14ac:dyDescent="0.25">
      <c r="B1215" s="654"/>
      <c r="C1215" s="655"/>
      <c r="D1215" s="45" t="s">
        <v>835</v>
      </c>
      <c r="E1215" s="140" t="s">
        <v>63</v>
      </c>
      <c r="F1215" s="692">
        <v>-0.8</v>
      </c>
      <c r="G1215" s="692"/>
      <c r="H1215" s="193">
        <f t="shared" si="41"/>
        <v>-0.8</v>
      </c>
    </row>
    <row r="1216" spans="2:8" s="42" customFormat="1" ht="15" x14ac:dyDescent="0.25">
      <c r="B1216" s="654"/>
      <c r="C1216" s="655"/>
      <c r="D1216" s="45" t="s">
        <v>331</v>
      </c>
      <c r="E1216" s="140" t="s">
        <v>63</v>
      </c>
      <c r="F1216" s="692">
        <f>1.4*2+2.2+1+2.5+3.45+2.1+2.55+0.6+2.35</f>
        <v>19.55</v>
      </c>
      <c r="G1216" s="692"/>
      <c r="H1216" s="193">
        <f t="shared" si="41"/>
        <v>19.55</v>
      </c>
    </row>
    <row r="1217" spans="2:8" s="42" customFormat="1" ht="15" x14ac:dyDescent="0.25">
      <c r="B1217" s="654"/>
      <c r="C1217" s="655"/>
      <c r="D1217" s="45" t="s">
        <v>837</v>
      </c>
      <c r="E1217" s="140" t="s">
        <v>63</v>
      </c>
      <c r="F1217" s="692">
        <f>0.7*2+0.8+1</f>
        <v>3.2</v>
      </c>
      <c r="G1217" s="692"/>
      <c r="H1217" s="193">
        <f>-F1217</f>
        <v>-3.2</v>
      </c>
    </row>
    <row r="1218" spans="2:8" s="42" customFormat="1" ht="15" x14ac:dyDescent="0.25">
      <c r="B1218" s="654"/>
      <c r="C1218" s="655"/>
      <c r="D1218" s="45" t="s">
        <v>814</v>
      </c>
      <c r="E1218" s="140" t="s">
        <v>63</v>
      </c>
      <c r="F1218" s="708">
        <f>2.2*2+1*2</f>
        <v>6.4</v>
      </c>
      <c r="G1218" s="709"/>
      <c r="H1218" s="193">
        <f>F1218</f>
        <v>6.4</v>
      </c>
    </row>
    <row r="1219" spans="2:8" s="42" customFormat="1" ht="15" x14ac:dyDescent="0.25">
      <c r="B1219" s="654"/>
      <c r="C1219" s="655"/>
      <c r="D1219" s="45" t="s">
        <v>838</v>
      </c>
      <c r="E1219" s="140" t="s">
        <v>63</v>
      </c>
      <c r="F1219" s="708">
        <v>0.8</v>
      </c>
      <c r="G1219" s="709"/>
      <c r="H1219" s="193">
        <f>-F1219</f>
        <v>-0.8</v>
      </c>
    </row>
    <row r="1220" spans="2:8" s="42" customFormat="1" ht="15" x14ac:dyDescent="0.25">
      <c r="B1220" s="654"/>
      <c r="C1220" s="655"/>
      <c r="D1220" s="45" t="s">
        <v>23</v>
      </c>
      <c r="E1220" s="140" t="s">
        <v>63</v>
      </c>
      <c r="F1220" s="708">
        <f>16.8+21.3+5.26+2.7+(0.35*4*20)</f>
        <v>74.06</v>
      </c>
      <c r="G1220" s="709"/>
      <c r="H1220" s="193">
        <f>F1220</f>
        <v>74.06</v>
      </c>
    </row>
    <row r="1221" spans="2:8" s="42" customFormat="1" ht="15" x14ac:dyDescent="0.25">
      <c r="B1221" s="603"/>
      <c r="C1221" s="612"/>
      <c r="D1221" s="45" t="s">
        <v>839</v>
      </c>
      <c r="E1221" s="140" t="s">
        <v>63</v>
      </c>
      <c r="F1221" s="708">
        <f>4*0.9+1+3*0.9</f>
        <v>7.3</v>
      </c>
      <c r="G1221" s="709"/>
      <c r="H1221" s="193">
        <f>-F1221</f>
        <v>-7.3</v>
      </c>
    </row>
    <row r="1222" spans="2:8" s="42" customFormat="1" ht="15.75" x14ac:dyDescent="0.25">
      <c r="B1222" s="598" t="s">
        <v>840</v>
      </c>
      <c r="C1222" s="442">
        <v>221102</v>
      </c>
      <c r="D1222" s="52" t="s">
        <v>841</v>
      </c>
      <c r="E1222" s="99" t="s">
        <v>63</v>
      </c>
      <c r="F1222" s="671" t="s">
        <v>27</v>
      </c>
      <c r="G1222" s="671"/>
      <c r="H1222" s="192">
        <f>SUM(H1223:H1224)</f>
        <v>160.5</v>
      </c>
    </row>
    <row r="1223" spans="2:8" s="42" customFormat="1" ht="15" x14ac:dyDescent="0.25">
      <c r="B1223" s="652"/>
      <c r="C1223" s="653"/>
      <c r="D1223" s="41" t="s">
        <v>335</v>
      </c>
      <c r="E1223" s="140" t="s">
        <v>63</v>
      </c>
      <c r="F1223" s="692">
        <v>127.8</v>
      </c>
      <c r="G1223" s="692"/>
      <c r="H1223" s="193">
        <f>F1223</f>
        <v>127.8</v>
      </c>
    </row>
    <row r="1224" spans="2:8" s="42" customFormat="1" ht="15" x14ac:dyDescent="0.25">
      <c r="B1224" s="654"/>
      <c r="C1224" s="655"/>
      <c r="D1224" s="40" t="s">
        <v>842</v>
      </c>
      <c r="E1224" s="140" t="s">
        <v>63</v>
      </c>
      <c r="F1224" s="692">
        <f>32.7</f>
        <v>32.700000000000003</v>
      </c>
      <c r="G1224" s="692"/>
      <c r="H1224" s="193">
        <f>F1224</f>
        <v>32.700000000000003</v>
      </c>
    </row>
    <row r="1225" spans="2:8" s="42" customFormat="1" ht="15.75" x14ac:dyDescent="0.25">
      <c r="B1225" s="598" t="s">
        <v>843</v>
      </c>
      <c r="C1225" s="442">
        <v>221126</v>
      </c>
      <c r="D1225" s="52" t="s">
        <v>844</v>
      </c>
      <c r="E1225" s="99" t="s">
        <v>17</v>
      </c>
      <c r="F1225" s="164" t="s">
        <v>27</v>
      </c>
      <c r="G1225" s="164" t="s">
        <v>19</v>
      </c>
      <c r="H1225" s="192">
        <f>SUM(H1226:H1227)</f>
        <v>8.91</v>
      </c>
    </row>
    <row r="1226" spans="2:8" s="42" customFormat="1" ht="15" x14ac:dyDescent="0.25">
      <c r="B1226" s="652"/>
      <c r="C1226" s="673"/>
      <c r="D1226" s="40" t="s">
        <v>845</v>
      </c>
      <c r="E1226" s="140" t="s">
        <v>17</v>
      </c>
      <c r="F1226" s="43">
        <v>1.2</v>
      </c>
      <c r="G1226" s="43">
        <v>0.25</v>
      </c>
      <c r="H1226" s="193">
        <f>G1226*F1226</f>
        <v>0.3</v>
      </c>
    </row>
    <row r="1227" spans="2:8" s="42" customFormat="1" ht="15" x14ac:dyDescent="0.25">
      <c r="B1227" s="656"/>
      <c r="C1227" s="674"/>
      <c r="D1227" s="40" t="s">
        <v>846</v>
      </c>
      <c r="E1227" s="140" t="s">
        <v>17</v>
      </c>
      <c r="F1227" s="43">
        <v>28.7</v>
      </c>
      <c r="G1227" s="43">
        <v>0.3</v>
      </c>
      <c r="H1227" s="193">
        <f>G1227*F1227</f>
        <v>8.61</v>
      </c>
    </row>
    <row r="1228" spans="2:8" s="42" customFormat="1" ht="15.75" x14ac:dyDescent="0.25">
      <c r="B1228" s="680" t="s">
        <v>847</v>
      </c>
      <c r="C1228" s="681"/>
      <c r="D1228" s="681"/>
      <c r="E1228" s="681"/>
      <c r="F1228" s="681"/>
      <c r="G1228" s="681"/>
      <c r="H1228" s="682"/>
    </row>
    <row r="1229" spans="2:8" s="42" customFormat="1" ht="15.75" x14ac:dyDescent="0.25">
      <c r="B1229" s="610">
        <v>17</v>
      </c>
      <c r="C1229" s="430">
        <v>230000</v>
      </c>
      <c r="D1229" s="720" t="s">
        <v>848</v>
      </c>
      <c r="E1229" s="681"/>
      <c r="F1229" s="681"/>
      <c r="G1229" s="721"/>
      <c r="H1229" s="195" t="s">
        <v>14</v>
      </c>
    </row>
    <row r="1230" spans="2:8" s="42" customFormat="1" ht="15.75" x14ac:dyDescent="0.25">
      <c r="B1230" s="598" t="s">
        <v>849</v>
      </c>
      <c r="C1230" s="442">
        <v>230101</v>
      </c>
      <c r="D1230" s="52" t="s">
        <v>850</v>
      </c>
      <c r="E1230" s="53" t="s">
        <v>67</v>
      </c>
      <c r="F1230" s="707" t="s">
        <v>68</v>
      </c>
      <c r="G1230" s="707"/>
      <c r="H1230" s="192">
        <f>SUM(H1231:H1246)</f>
        <v>17</v>
      </c>
    </row>
    <row r="1231" spans="2:8" s="42" customFormat="1" ht="15" x14ac:dyDescent="0.25">
      <c r="B1231" s="668"/>
      <c r="C1231" s="669"/>
      <c r="D1231" s="45" t="s">
        <v>812</v>
      </c>
      <c r="E1231" s="44" t="s">
        <v>67</v>
      </c>
      <c r="F1231" s="670">
        <v>2</v>
      </c>
      <c r="G1231" s="670"/>
      <c r="H1231" s="199">
        <f>F1231</f>
        <v>2</v>
      </c>
    </row>
    <row r="1232" spans="2:8" s="42" customFormat="1" ht="15" x14ac:dyDescent="0.25">
      <c r="B1232" s="668"/>
      <c r="C1232" s="669"/>
      <c r="D1232" s="45" t="s">
        <v>353</v>
      </c>
      <c r="E1232" s="44" t="s">
        <v>67</v>
      </c>
      <c r="F1232" s="670">
        <v>1</v>
      </c>
      <c r="G1232" s="670"/>
      <c r="H1232" s="199">
        <f t="shared" ref="H1232:H1246" si="42">F1232</f>
        <v>1</v>
      </c>
    </row>
    <row r="1233" spans="2:8" s="42" customFormat="1" ht="15" x14ac:dyDescent="0.25">
      <c r="B1233" s="668"/>
      <c r="C1233" s="669"/>
      <c r="D1233" s="45" t="s">
        <v>572</v>
      </c>
      <c r="E1233" s="44" t="s">
        <v>67</v>
      </c>
      <c r="F1233" s="670">
        <v>1</v>
      </c>
      <c r="G1233" s="670"/>
      <c r="H1233" s="199">
        <f t="shared" si="42"/>
        <v>1</v>
      </c>
    </row>
    <row r="1234" spans="2:8" s="42" customFormat="1" ht="15" x14ac:dyDescent="0.25">
      <c r="B1234" s="668"/>
      <c r="C1234" s="669"/>
      <c r="D1234" s="45" t="s">
        <v>813</v>
      </c>
      <c r="E1234" s="44" t="s">
        <v>67</v>
      </c>
      <c r="F1234" s="670">
        <v>1</v>
      </c>
      <c r="G1234" s="670"/>
      <c r="H1234" s="199">
        <f t="shared" si="42"/>
        <v>1</v>
      </c>
    </row>
    <row r="1235" spans="2:8" s="42" customFormat="1" ht="15" x14ac:dyDescent="0.25">
      <c r="B1235" s="668"/>
      <c r="C1235" s="669"/>
      <c r="D1235" s="45" t="s">
        <v>569</v>
      </c>
      <c r="E1235" s="44" t="s">
        <v>67</v>
      </c>
      <c r="F1235" s="670">
        <v>1</v>
      </c>
      <c r="G1235" s="670"/>
      <c r="H1235" s="199">
        <f t="shared" si="42"/>
        <v>1</v>
      </c>
    </row>
    <row r="1236" spans="2:8" s="42" customFormat="1" ht="15" x14ac:dyDescent="0.25">
      <c r="B1236" s="668"/>
      <c r="C1236" s="669"/>
      <c r="D1236" s="45" t="s">
        <v>571</v>
      </c>
      <c r="E1236" s="44" t="s">
        <v>67</v>
      </c>
      <c r="F1236" s="670">
        <v>1</v>
      </c>
      <c r="G1236" s="670"/>
      <c r="H1236" s="199">
        <f t="shared" si="42"/>
        <v>1</v>
      </c>
    </row>
    <row r="1237" spans="2:8" s="42" customFormat="1" ht="15" x14ac:dyDescent="0.25">
      <c r="B1237" s="668"/>
      <c r="C1237" s="669"/>
      <c r="D1237" s="45" t="s">
        <v>331</v>
      </c>
      <c r="E1237" s="44" t="s">
        <v>67</v>
      </c>
      <c r="F1237" s="670">
        <v>1</v>
      </c>
      <c r="G1237" s="670"/>
      <c r="H1237" s="199">
        <f t="shared" si="42"/>
        <v>1</v>
      </c>
    </row>
    <row r="1238" spans="2:8" s="42" customFormat="1" ht="15" x14ac:dyDescent="0.25">
      <c r="B1238" s="668"/>
      <c r="C1238" s="669"/>
      <c r="D1238" s="45" t="s">
        <v>814</v>
      </c>
      <c r="E1238" s="44" t="s">
        <v>67</v>
      </c>
      <c r="F1238" s="670">
        <v>1</v>
      </c>
      <c r="G1238" s="670"/>
      <c r="H1238" s="199">
        <f t="shared" si="42"/>
        <v>1</v>
      </c>
    </row>
    <row r="1239" spans="2:8" s="42" customFormat="1" ht="15" x14ac:dyDescent="0.25">
      <c r="B1239" s="668"/>
      <c r="C1239" s="669"/>
      <c r="D1239" s="45" t="s">
        <v>28</v>
      </c>
      <c r="E1239" s="44" t="s">
        <v>67</v>
      </c>
      <c r="F1239" s="670">
        <v>1</v>
      </c>
      <c r="G1239" s="670"/>
      <c r="H1239" s="199">
        <f t="shared" si="42"/>
        <v>1</v>
      </c>
    </row>
    <row r="1240" spans="2:8" s="42" customFormat="1" ht="15" x14ac:dyDescent="0.25">
      <c r="B1240" s="668"/>
      <c r="C1240" s="669"/>
      <c r="D1240" s="45" t="s">
        <v>21</v>
      </c>
      <c r="E1240" s="44" t="s">
        <v>67</v>
      </c>
      <c r="F1240" s="670">
        <v>1</v>
      </c>
      <c r="G1240" s="670"/>
      <c r="H1240" s="199">
        <f t="shared" si="42"/>
        <v>1</v>
      </c>
    </row>
    <row r="1241" spans="2:8" s="42" customFormat="1" ht="15" x14ac:dyDescent="0.25">
      <c r="B1241" s="668"/>
      <c r="C1241" s="669"/>
      <c r="D1241" s="45" t="s">
        <v>22</v>
      </c>
      <c r="E1241" s="44" t="s">
        <v>67</v>
      </c>
      <c r="F1241" s="670">
        <v>1</v>
      </c>
      <c r="G1241" s="670"/>
      <c r="H1241" s="199">
        <f t="shared" si="42"/>
        <v>1</v>
      </c>
    </row>
    <row r="1242" spans="2:8" s="42" customFormat="1" ht="15" x14ac:dyDescent="0.25">
      <c r="B1242" s="668"/>
      <c r="C1242" s="669"/>
      <c r="D1242" s="45" t="s">
        <v>29</v>
      </c>
      <c r="E1242" s="44" t="s">
        <v>67</v>
      </c>
      <c r="F1242" s="670">
        <v>1</v>
      </c>
      <c r="G1242" s="670"/>
      <c r="H1242" s="199">
        <f t="shared" si="42"/>
        <v>1</v>
      </c>
    </row>
    <row r="1243" spans="2:8" s="42" customFormat="1" ht="15" x14ac:dyDescent="0.25">
      <c r="B1243" s="668"/>
      <c r="C1243" s="669"/>
      <c r="D1243" s="433" t="s">
        <v>613</v>
      </c>
      <c r="E1243" s="44" t="s">
        <v>67</v>
      </c>
      <c r="F1243" s="670">
        <v>1</v>
      </c>
      <c r="G1243" s="670"/>
      <c r="H1243" s="199">
        <f t="shared" si="42"/>
        <v>1</v>
      </c>
    </row>
    <row r="1244" spans="2:8" s="42" customFormat="1" ht="15" x14ac:dyDescent="0.25">
      <c r="B1244" s="668"/>
      <c r="C1244" s="736"/>
      <c r="D1244" s="431" t="s">
        <v>727</v>
      </c>
      <c r="E1244" s="432" t="s">
        <v>67</v>
      </c>
      <c r="F1244" s="670">
        <v>1</v>
      </c>
      <c r="G1244" s="670"/>
      <c r="H1244" s="199">
        <f t="shared" si="42"/>
        <v>1</v>
      </c>
    </row>
    <row r="1245" spans="2:8" s="42" customFormat="1" ht="15" x14ac:dyDescent="0.25">
      <c r="B1245" s="668"/>
      <c r="C1245" s="736"/>
      <c r="D1245" s="431" t="s">
        <v>725</v>
      </c>
      <c r="E1245" s="432" t="s">
        <v>67</v>
      </c>
      <c r="F1245" s="670">
        <v>1</v>
      </c>
      <c r="G1245" s="670"/>
      <c r="H1245" s="199">
        <f t="shared" si="42"/>
        <v>1</v>
      </c>
    </row>
    <row r="1246" spans="2:8" s="42" customFormat="1" ht="15" x14ac:dyDescent="0.25">
      <c r="B1246" s="668"/>
      <c r="C1246" s="669"/>
      <c r="D1246" s="434" t="s">
        <v>347</v>
      </c>
      <c r="E1246" s="44" t="s">
        <v>67</v>
      </c>
      <c r="F1246" s="670">
        <v>1</v>
      </c>
      <c r="G1246" s="670"/>
      <c r="H1246" s="199">
        <f t="shared" si="42"/>
        <v>1</v>
      </c>
    </row>
    <row r="1247" spans="2:8" s="42" customFormat="1" ht="15.75" x14ac:dyDescent="0.25">
      <c r="B1247" s="598" t="s">
        <v>851</v>
      </c>
      <c r="C1247" s="442">
        <v>230201</v>
      </c>
      <c r="D1247" s="52" t="s">
        <v>852</v>
      </c>
      <c r="E1247" s="53" t="s">
        <v>67</v>
      </c>
      <c r="F1247" s="707" t="s">
        <v>68</v>
      </c>
      <c r="G1247" s="707"/>
      <c r="H1247" s="192">
        <f>SUM(H1248:H1265)</f>
        <v>60</v>
      </c>
    </row>
    <row r="1248" spans="2:8" s="42" customFormat="1" ht="15" x14ac:dyDescent="0.25">
      <c r="B1248" s="652"/>
      <c r="C1248" s="673"/>
      <c r="D1248" s="45" t="s">
        <v>812</v>
      </c>
      <c r="E1248" s="44" t="s">
        <v>67</v>
      </c>
      <c r="F1248" s="670">
        <v>6</v>
      </c>
      <c r="G1248" s="670"/>
      <c r="H1248" s="199">
        <f>F1248</f>
        <v>6</v>
      </c>
    </row>
    <row r="1249" spans="2:8" s="42" customFormat="1" ht="15" x14ac:dyDescent="0.25">
      <c r="B1249" s="654"/>
      <c r="C1249" s="675"/>
      <c r="D1249" s="45" t="s">
        <v>353</v>
      </c>
      <c r="E1249" s="44" t="s">
        <v>67</v>
      </c>
      <c r="F1249" s="670">
        <v>3</v>
      </c>
      <c r="G1249" s="670"/>
      <c r="H1249" s="199">
        <f t="shared" ref="H1249:H1263" si="43">F1249</f>
        <v>3</v>
      </c>
    </row>
    <row r="1250" spans="2:8" s="42" customFormat="1" ht="15" x14ac:dyDescent="0.25">
      <c r="B1250" s="654"/>
      <c r="C1250" s="675"/>
      <c r="D1250" s="45" t="s">
        <v>572</v>
      </c>
      <c r="E1250" s="44" t="s">
        <v>67</v>
      </c>
      <c r="F1250" s="670">
        <v>3</v>
      </c>
      <c r="G1250" s="670"/>
      <c r="H1250" s="199">
        <f t="shared" si="43"/>
        <v>3</v>
      </c>
    </row>
    <row r="1251" spans="2:8" s="42" customFormat="1" ht="15" x14ac:dyDescent="0.25">
      <c r="B1251" s="654"/>
      <c r="C1251" s="675"/>
      <c r="D1251" s="45" t="s">
        <v>813</v>
      </c>
      <c r="E1251" s="44" t="s">
        <v>67</v>
      </c>
      <c r="F1251" s="670">
        <v>3</v>
      </c>
      <c r="G1251" s="670"/>
      <c r="H1251" s="199">
        <f t="shared" si="43"/>
        <v>3</v>
      </c>
    </row>
    <row r="1252" spans="2:8" s="42" customFormat="1" ht="15" x14ac:dyDescent="0.25">
      <c r="B1252" s="654"/>
      <c r="C1252" s="675"/>
      <c r="D1252" s="45" t="s">
        <v>569</v>
      </c>
      <c r="E1252" s="44" t="s">
        <v>67</v>
      </c>
      <c r="F1252" s="670">
        <v>3</v>
      </c>
      <c r="G1252" s="670"/>
      <c r="H1252" s="199">
        <f t="shared" si="43"/>
        <v>3</v>
      </c>
    </row>
    <row r="1253" spans="2:8" s="42" customFormat="1" ht="15" x14ac:dyDescent="0.25">
      <c r="B1253" s="654"/>
      <c r="C1253" s="675"/>
      <c r="D1253" s="45" t="s">
        <v>571</v>
      </c>
      <c r="E1253" s="44" t="s">
        <v>67</v>
      </c>
      <c r="F1253" s="670">
        <v>3</v>
      </c>
      <c r="G1253" s="670"/>
      <c r="H1253" s="199">
        <f t="shared" si="43"/>
        <v>3</v>
      </c>
    </row>
    <row r="1254" spans="2:8" s="42" customFormat="1" ht="15" x14ac:dyDescent="0.25">
      <c r="B1254" s="654"/>
      <c r="C1254" s="675"/>
      <c r="D1254" s="45" t="s">
        <v>331</v>
      </c>
      <c r="E1254" s="44" t="s">
        <v>67</v>
      </c>
      <c r="F1254" s="670">
        <v>3</v>
      </c>
      <c r="G1254" s="670"/>
      <c r="H1254" s="199">
        <f t="shared" si="43"/>
        <v>3</v>
      </c>
    </row>
    <row r="1255" spans="2:8" s="42" customFormat="1" ht="15" x14ac:dyDescent="0.25">
      <c r="B1255" s="654"/>
      <c r="C1255" s="675"/>
      <c r="D1255" s="45" t="s">
        <v>814</v>
      </c>
      <c r="E1255" s="44" t="s">
        <v>67</v>
      </c>
      <c r="F1255" s="670">
        <v>3</v>
      </c>
      <c r="G1255" s="670"/>
      <c r="H1255" s="199">
        <f t="shared" si="43"/>
        <v>3</v>
      </c>
    </row>
    <row r="1256" spans="2:8" s="42" customFormat="1" ht="15" x14ac:dyDescent="0.25">
      <c r="B1256" s="654"/>
      <c r="C1256" s="675"/>
      <c r="D1256" s="45" t="s">
        <v>28</v>
      </c>
      <c r="E1256" s="44" t="s">
        <v>67</v>
      </c>
      <c r="F1256" s="670">
        <v>3</v>
      </c>
      <c r="G1256" s="670"/>
      <c r="H1256" s="199">
        <f t="shared" si="43"/>
        <v>3</v>
      </c>
    </row>
    <row r="1257" spans="2:8" s="42" customFormat="1" ht="15" x14ac:dyDescent="0.25">
      <c r="B1257" s="654"/>
      <c r="C1257" s="675"/>
      <c r="D1257" s="45" t="s">
        <v>21</v>
      </c>
      <c r="E1257" s="44" t="s">
        <v>67</v>
      </c>
      <c r="F1257" s="670">
        <v>3</v>
      </c>
      <c r="G1257" s="670"/>
      <c r="H1257" s="199">
        <f t="shared" si="43"/>
        <v>3</v>
      </c>
    </row>
    <row r="1258" spans="2:8" s="42" customFormat="1" ht="15" x14ac:dyDescent="0.25">
      <c r="B1258" s="654"/>
      <c r="C1258" s="675"/>
      <c r="D1258" s="45" t="s">
        <v>22</v>
      </c>
      <c r="E1258" s="44" t="s">
        <v>67</v>
      </c>
      <c r="F1258" s="670">
        <v>3</v>
      </c>
      <c r="G1258" s="670"/>
      <c r="H1258" s="199">
        <f t="shared" si="43"/>
        <v>3</v>
      </c>
    </row>
    <row r="1259" spans="2:8" s="42" customFormat="1" ht="15" x14ac:dyDescent="0.25">
      <c r="B1259" s="654"/>
      <c r="C1259" s="675"/>
      <c r="D1259" s="45" t="s">
        <v>29</v>
      </c>
      <c r="E1259" s="44" t="s">
        <v>67</v>
      </c>
      <c r="F1259" s="670">
        <v>3</v>
      </c>
      <c r="G1259" s="670"/>
      <c r="H1259" s="199">
        <f t="shared" si="43"/>
        <v>3</v>
      </c>
    </row>
    <row r="1260" spans="2:8" s="42" customFormat="1" ht="15" x14ac:dyDescent="0.25">
      <c r="B1260" s="654"/>
      <c r="C1260" s="675"/>
      <c r="D1260" s="45" t="s">
        <v>613</v>
      </c>
      <c r="E1260" s="44" t="s">
        <v>67</v>
      </c>
      <c r="F1260" s="670">
        <v>3</v>
      </c>
      <c r="G1260" s="670"/>
      <c r="H1260" s="199">
        <f t="shared" si="43"/>
        <v>3</v>
      </c>
    </row>
    <row r="1261" spans="2:8" s="42" customFormat="1" ht="15" x14ac:dyDescent="0.25">
      <c r="B1261" s="654"/>
      <c r="C1261" s="675"/>
      <c r="D1261" s="45" t="s">
        <v>727</v>
      </c>
      <c r="E1261" s="44" t="s">
        <v>67</v>
      </c>
      <c r="F1261" s="670">
        <v>3</v>
      </c>
      <c r="G1261" s="670"/>
      <c r="H1261" s="199">
        <f t="shared" si="43"/>
        <v>3</v>
      </c>
    </row>
    <row r="1262" spans="2:8" s="42" customFormat="1" ht="15" x14ac:dyDescent="0.25">
      <c r="B1262" s="654"/>
      <c r="C1262" s="675"/>
      <c r="D1262" s="45" t="s">
        <v>725</v>
      </c>
      <c r="E1262" s="44">
        <v>2</v>
      </c>
      <c r="F1262" s="670">
        <v>3</v>
      </c>
      <c r="G1262" s="670"/>
      <c r="H1262" s="199">
        <f t="shared" si="43"/>
        <v>3</v>
      </c>
    </row>
    <row r="1263" spans="2:8" s="42" customFormat="1" ht="15" x14ac:dyDescent="0.25">
      <c r="B1263" s="654"/>
      <c r="C1263" s="675"/>
      <c r="D1263" s="45" t="s">
        <v>347</v>
      </c>
      <c r="E1263" s="44" t="s">
        <v>67</v>
      </c>
      <c r="F1263" s="670">
        <v>3</v>
      </c>
      <c r="G1263" s="670"/>
      <c r="H1263" s="199">
        <f t="shared" si="43"/>
        <v>3</v>
      </c>
    </row>
    <row r="1264" spans="2:8" s="42" customFormat="1" ht="15" x14ac:dyDescent="0.25">
      <c r="B1264" s="654"/>
      <c r="C1264" s="675"/>
      <c r="D1264" s="45" t="s">
        <v>853</v>
      </c>
      <c r="E1264" s="44" t="s">
        <v>67</v>
      </c>
      <c r="F1264" s="670">
        <v>3</v>
      </c>
      <c r="G1264" s="670"/>
      <c r="H1264" s="199">
        <f t="shared" ref="H1264:H1265" si="44">F1264</f>
        <v>3</v>
      </c>
    </row>
    <row r="1265" spans="2:8" s="42" customFormat="1" ht="15" x14ac:dyDescent="0.25">
      <c r="B1265" s="656"/>
      <c r="C1265" s="674"/>
      <c r="D1265" s="45" t="s">
        <v>854</v>
      </c>
      <c r="E1265" s="44" t="s">
        <v>67</v>
      </c>
      <c r="F1265" s="670">
        <v>6</v>
      </c>
      <c r="G1265" s="670"/>
      <c r="H1265" s="199">
        <f t="shared" si="44"/>
        <v>6</v>
      </c>
    </row>
    <row r="1266" spans="2:8" s="42" customFormat="1" ht="15.75" x14ac:dyDescent="0.25">
      <c r="B1266" s="598" t="s">
        <v>855</v>
      </c>
      <c r="C1266" s="442">
        <v>230176</v>
      </c>
      <c r="D1266" s="52" t="s">
        <v>856</v>
      </c>
      <c r="E1266" s="53" t="s">
        <v>67</v>
      </c>
      <c r="F1266" s="707" t="s">
        <v>68</v>
      </c>
      <c r="G1266" s="707"/>
      <c r="H1266" s="192">
        <f>SUM(H1267:H1267)</f>
        <v>4</v>
      </c>
    </row>
    <row r="1267" spans="2:8" s="42" customFormat="1" ht="15" x14ac:dyDescent="0.25">
      <c r="B1267" s="652"/>
      <c r="C1267" s="673"/>
      <c r="D1267" s="45" t="s">
        <v>347</v>
      </c>
      <c r="E1267" s="44" t="s">
        <v>67</v>
      </c>
      <c r="F1267" s="670">
        <v>4</v>
      </c>
      <c r="G1267" s="670"/>
      <c r="H1267" s="199">
        <f>F1267</f>
        <v>4</v>
      </c>
    </row>
    <row r="1268" spans="2:8" s="42" customFormat="1" ht="15.75" x14ac:dyDescent="0.25">
      <c r="B1268" s="680" t="s">
        <v>857</v>
      </c>
      <c r="C1268" s="681"/>
      <c r="D1268" s="681"/>
      <c r="E1268" s="681"/>
      <c r="F1268" s="681"/>
      <c r="G1268" s="681"/>
      <c r="H1268" s="682"/>
    </row>
    <row r="1269" spans="2:8" s="42" customFormat="1" ht="15.75" x14ac:dyDescent="0.25">
      <c r="B1269" s="610">
        <v>18</v>
      </c>
      <c r="C1269" s="430">
        <v>250000</v>
      </c>
      <c r="D1269" s="720" t="s">
        <v>858</v>
      </c>
      <c r="E1269" s="681"/>
      <c r="F1269" s="681"/>
      <c r="G1269" s="721"/>
      <c r="H1269" s="195" t="s">
        <v>14</v>
      </c>
    </row>
    <row r="1270" spans="2:8" s="42" customFormat="1" ht="15.75" x14ac:dyDescent="0.25">
      <c r="B1270" s="598" t="s">
        <v>859</v>
      </c>
      <c r="C1270" s="442">
        <v>250101</v>
      </c>
      <c r="D1270" s="60" t="s">
        <v>860</v>
      </c>
      <c r="E1270" s="99" t="s">
        <v>861</v>
      </c>
      <c r="F1270" s="671" t="s">
        <v>862</v>
      </c>
      <c r="G1270" s="671"/>
      <c r="H1270" s="192">
        <f>H1271</f>
        <v>1000</v>
      </c>
    </row>
    <row r="1271" spans="2:8" s="42" customFormat="1" ht="15" x14ac:dyDescent="0.25">
      <c r="B1271" s="689"/>
      <c r="C1271" s="729"/>
      <c r="D1271" s="45" t="s">
        <v>863</v>
      </c>
      <c r="E1271" s="44" t="s">
        <v>864</v>
      </c>
      <c r="F1271" s="670">
        <f>200*5</f>
        <v>1000</v>
      </c>
      <c r="G1271" s="670"/>
      <c r="H1271" s="199">
        <f>F1271</f>
        <v>1000</v>
      </c>
    </row>
    <row r="1272" spans="2:8" s="42" customFormat="1" ht="15.75" x14ac:dyDescent="0.25">
      <c r="B1272" s="598" t="s">
        <v>865</v>
      </c>
      <c r="C1272" s="442">
        <v>250103</v>
      </c>
      <c r="D1272" s="60" t="s">
        <v>866</v>
      </c>
      <c r="E1272" s="99" t="s">
        <v>861</v>
      </c>
      <c r="F1272" s="671" t="s">
        <v>862</v>
      </c>
      <c r="G1272" s="671"/>
      <c r="H1272" s="192">
        <f>H1273</f>
        <v>1600</v>
      </c>
    </row>
    <row r="1273" spans="2:8" s="42" customFormat="1" ht="15" x14ac:dyDescent="0.25">
      <c r="B1273" s="652"/>
      <c r="C1273" s="653"/>
      <c r="D1273" s="45" t="s">
        <v>867</v>
      </c>
      <c r="E1273" s="44" t="s">
        <v>864</v>
      </c>
      <c r="F1273" s="670">
        <f>200*8</f>
        <v>1600</v>
      </c>
      <c r="G1273" s="670"/>
      <c r="H1273" s="199">
        <f>F1273</f>
        <v>1600</v>
      </c>
    </row>
    <row r="1274" spans="2:8" s="42" customFormat="1" ht="15.75" x14ac:dyDescent="0.25">
      <c r="B1274" s="598" t="s">
        <v>868</v>
      </c>
      <c r="C1274" s="442">
        <v>250110</v>
      </c>
      <c r="D1274" s="60" t="s">
        <v>869</v>
      </c>
      <c r="E1274" s="99" t="s">
        <v>861</v>
      </c>
      <c r="F1274" s="671" t="s">
        <v>862</v>
      </c>
      <c r="G1274" s="671"/>
      <c r="H1274" s="192">
        <f>H1275</f>
        <v>3600</v>
      </c>
    </row>
    <row r="1275" spans="2:8" s="42" customFormat="1" ht="15" x14ac:dyDescent="0.25">
      <c r="B1275" s="652"/>
      <c r="C1275" s="653"/>
      <c r="D1275" s="45" t="s">
        <v>870</v>
      </c>
      <c r="E1275" s="44" t="s">
        <v>864</v>
      </c>
      <c r="F1275" s="670">
        <f>300*12</f>
        <v>3600</v>
      </c>
      <c r="G1275" s="670"/>
      <c r="H1275" s="199">
        <f>F1275</f>
        <v>3600</v>
      </c>
    </row>
    <row r="1276" spans="2:8" s="42" customFormat="1" ht="15.75" x14ac:dyDescent="0.25">
      <c r="B1276" s="680" t="s">
        <v>871</v>
      </c>
      <c r="C1276" s="681"/>
      <c r="D1276" s="681"/>
      <c r="E1276" s="681"/>
      <c r="F1276" s="681"/>
      <c r="G1276" s="681"/>
      <c r="H1276" s="682"/>
    </row>
    <row r="1277" spans="2:8" s="42" customFormat="1" ht="15.75" x14ac:dyDescent="0.25">
      <c r="B1277" s="610">
        <v>19</v>
      </c>
      <c r="C1277" s="430">
        <v>260000</v>
      </c>
      <c r="D1277" s="720" t="s">
        <v>872</v>
      </c>
      <c r="E1277" s="681"/>
      <c r="F1277" s="681"/>
      <c r="G1277" s="721"/>
      <c r="H1277" s="195" t="s">
        <v>14</v>
      </c>
    </row>
    <row r="1278" spans="2:8" s="42" customFormat="1" ht="15.75" x14ac:dyDescent="0.25">
      <c r="B1278" s="598" t="s">
        <v>873</v>
      </c>
      <c r="C1278" s="442">
        <v>261300</v>
      </c>
      <c r="D1278" s="60" t="s">
        <v>874</v>
      </c>
      <c r="E1278" s="99" t="s">
        <v>17</v>
      </c>
      <c r="F1278" s="164" t="s">
        <v>27</v>
      </c>
      <c r="G1278" s="164" t="s">
        <v>19</v>
      </c>
      <c r="H1278" s="192">
        <f>SUM(H1279,H1281,H1283,H1285,H1287,H1289,H1291,H1293,H1295,H1297,H1299,H1301,H1303,H1305,H1307,H1310)</f>
        <v>4060.6025000000009</v>
      </c>
    </row>
    <row r="1279" spans="2:8" s="42" customFormat="1" ht="15.75" x14ac:dyDescent="0.25">
      <c r="B1279" s="652"/>
      <c r="C1279" s="673"/>
      <c r="D1279" s="101" t="s">
        <v>568</v>
      </c>
      <c r="E1279" s="96" t="s">
        <v>17</v>
      </c>
      <c r="F1279" s="97" t="s">
        <v>27</v>
      </c>
      <c r="G1279" s="97" t="s">
        <v>19</v>
      </c>
      <c r="H1279" s="201">
        <f>H1280</f>
        <v>39.637499999999996</v>
      </c>
    </row>
    <row r="1280" spans="2:8" s="42" customFormat="1" ht="15" x14ac:dyDescent="0.25">
      <c r="B1280" s="654"/>
      <c r="C1280" s="675"/>
      <c r="D1280" s="40" t="s">
        <v>599</v>
      </c>
      <c r="E1280" s="140" t="s">
        <v>17</v>
      </c>
      <c r="F1280" s="167">
        <v>7.55</v>
      </c>
      <c r="G1280" s="167">
        <v>5.25</v>
      </c>
      <c r="H1280" s="191">
        <f>F1280*G1280</f>
        <v>39.637499999999996</v>
      </c>
    </row>
    <row r="1281" spans="2:8" s="42" customFormat="1" ht="15.75" x14ac:dyDescent="0.25">
      <c r="B1281" s="654"/>
      <c r="C1281" s="675"/>
      <c r="D1281" s="101" t="s">
        <v>353</v>
      </c>
      <c r="E1281" s="96" t="s">
        <v>17</v>
      </c>
      <c r="F1281" s="97" t="s">
        <v>27</v>
      </c>
      <c r="G1281" s="97" t="s">
        <v>19</v>
      </c>
      <c r="H1281" s="201">
        <f>H1282</f>
        <v>7.7000000000000011</v>
      </c>
    </row>
    <row r="1282" spans="2:8" s="42" customFormat="1" ht="15" x14ac:dyDescent="0.25">
      <c r="B1282" s="654"/>
      <c r="C1282" s="675"/>
      <c r="D1282" s="40" t="s">
        <v>600</v>
      </c>
      <c r="E1282" s="140" t="s">
        <v>17</v>
      </c>
      <c r="F1282" s="167">
        <v>3.5</v>
      </c>
      <c r="G1282" s="167">
        <v>2.2000000000000002</v>
      </c>
      <c r="H1282" s="191">
        <f>F1282*G1282</f>
        <v>7.7000000000000011</v>
      </c>
    </row>
    <row r="1283" spans="2:8" s="42" customFormat="1" ht="15.75" x14ac:dyDescent="0.25">
      <c r="B1283" s="654"/>
      <c r="C1283" s="675"/>
      <c r="D1283" s="101" t="s">
        <v>601</v>
      </c>
      <c r="E1283" s="96" t="s">
        <v>17</v>
      </c>
      <c r="F1283" s="97" t="s">
        <v>27</v>
      </c>
      <c r="G1283" s="97" t="s">
        <v>19</v>
      </c>
      <c r="H1283" s="201">
        <f>H1284</f>
        <v>3.08</v>
      </c>
    </row>
    <row r="1284" spans="2:8" s="42" customFormat="1" ht="15" x14ac:dyDescent="0.25">
      <c r="B1284" s="654"/>
      <c r="C1284" s="675"/>
      <c r="D1284" s="45" t="s">
        <v>602</v>
      </c>
      <c r="E1284" s="140" t="s">
        <v>17</v>
      </c>
      <c r="F1284" s="165">
        <v>2.2000000000000002</v>
      </c>
      <c r="G1284" s="165">
        <v>1.4</v>
      </c>
      <c r="H1284" s="191">
        <f>F1284*G1284</f>
        <v>3.08</v>
      </c>
    </row>
    <row r="1285" spans="2:8" s="42" customFormat="1" ht="15.75" x14ac:dyDescent="0.25">
      <c r="B1285" s="654"/>
      <c r="C1285" s="675"/>
      <c r="D1285" s="101" t="s">
        <v>603</v>
      </c>
      <c r="E1285" s="96" t="s">
        <v>17</v>
      </c>
      <c r="F1285" s="97" t="s">
        <v>27</v>
      </c>
      <c r="G1285" s="97" t="s">
        <v>19</v>
      </c>
      <c r="H1285" s="201">
        <f>H1286</f>
        <v>3.08</v>
      </c>
    </row>
    <row r="1286" spans="2:8" s="42" customFormat="1" ht="15" x14ac:dyDescent="0.25">
      <c r="B1286" s="654"/>
      <c r="C1286" s="675"/>
      <c r="D1286" s="45" t="s">
        <v>604</v>
      </c>
      <c r="E1286" s="140" t="s">
        <v>17</v>
      </c>
      <c r="F1286" s="165">
        <v>2.2000000000000002</v>
      </c>
      <c r="G1286" s="165">
        <v>1.4</v>
      </c>
      <c r="H1286" s="191">
        <f>F1286*G1286</f>
        <v>3.08</v>
      </c>
    </row>
    <row r="1287" spans="2:8" s="42" customFormat="1" ht="15.75" x14ac:dyDescent="0.25">
      <c r="B1287" s="654"/>
      <c r="C1287" s="675"/>
      <c r="D1287" s="101" t="s">
        <v>875</v>
      </c>
      <c r="E1287" s="96" t="s">
        <v>17</v>
      </c>
      <c r="F1287" s="97" t="s">
        <v>27</v>
      </c>
      <c r="G1287" s="97" t="s">
        <v>19</v>
      </c>
      <c r="H1287" s="201">
        <f>H1288</f>
        <v>2.4</v>
      </c>
    </row>
    <row r="1288" spans="2:8" s="42" customFormat="1" ht="15" x14ac:dyDescent="0.25">
      <c r="B1288" s="654"/>
      <c r="C1288" s="675"/>
      <c r="D1288" s="45" t="s">
        <v>605</v>
      </c>
      <c r="E1288" s="140" t="s">
        <v>17</v>
      </c>
      <c r="F1288" s="165">
        <v>1.2</v>
      </c>
      <c r="G1288" s="165">
        <v>2</v>
      </c>
      <c r="H1288" s="191">
        <f>F1288*G1288</f>
        <v>2.4</v>
      </c>
    </row>
    <row r="1289" spans="2:8" s="42" customFormat="1" ht="15.75" x14ac:dyDescent="0.25">
      <c r="B1289" s="654"/>
      <c r="C1289" s="675"/>
      <c r="D1289" s="101" t="s">
        <v>606</v>
      </c>
      <c r="E1289" s="96" t="s">
        <v>17</v>
      </c>
      <c r="F1289" s="97" t="s">
        <v>27</v>
      </c>
      <c r="G1289" s="97" t="s">
        <v>19</v>
      </c>
      <c r="H1289" s="201">
        <f>H1290</f>
        <v>2.4</v>
      </c>
    </row>
    <row r="1290" spans="2:8" s="42" customFormat="1" ht="15" x14ac:dyDescent="0.25">
      <c r="B1290" s="654"/>
      <c r="C1290" s="675"/>
      <c r="D1290" s="45" t="s">
        <v>607</v>
      </c>
      <c r="E1290" s="140" t="s">
        <v>17</v>
      </c>
      <c r="F1290" s="165">
        <v>1.2</v>
      </c>
      <c r="G1290" s="165">
        <v>2</v>
      </c>
      <c r="H1290" s="191">
        <f>F1290*G1290</f>
        <v>2.4</v>
      </c>
    </row>
    <row r="1291" spans="2:8" s="42" customFormat="1" ht="15.75" x14ac:dyDescent="0.25">
      <c r="B1291" s="654"/>
      <c r="C1291" s="675"/>
      <c r="D1291" s="101" t="s">
        <v>331</v>
      </c>
      <c r="E1291" s="96" t="s">
        <v>17</v>
      </c>
      <c r="F1291" s="97" t="s">
        <v>27</v>
      </c>
      <c r="G1291" s="97" t="s">
        <v>19</v>
      </c>
      <c r="H1291" s="201">
        <f>H1292</f>
        <v>10.625</v>
      </c>
    </row>
    <row r="1292" spans="2:8" s="42" customFormat="1" ht="15" x14ac:dyDescent="0.25">
      <c r="B1292" s="654"/>
      <c r="C1292" s="675"/>
      <c r="D1292" s="45" t="s">
        <v>608</v>
      </c>
      <c r="E1292" s="140" t="s">
        <v>17</v>
      </c>
      <c r="F1292" s="167">
        <v>4.25</v>
      </c>
      <c r="G1292" s="167">
        <v>2.5</v>
      </c>
      <c r="H1292" s="191">
        <f>F1292*G1292</f>
        <v>10.625</v>
      </c>
    </row>
    <row r="1293" spans="2:8" s="42" customFormat="1" ht="15.75" x14ac:dyDescent="0.25">
      <c r="B1293" s="654"/>
      <c r="C1293" s="675"/>
      <c r="D1293" s="101" t="s">
        <v>28</v>
      </c>
      <c r="E1293" s="96" t="s">
        <v>17</v>
      </c>
      <c r="F1293" s="97" t="s">
        <v>27</v>
      </c>
      <c r="G1293" s="97" t="s">
        <v>19</v>
      </c>
      <c r="H1293" s="201">
        <f>H1294</f>
        <v>29.61</v>
      </c>
    </row>
    <row r="1294" spans="2:8" s="42" customFormat="1" ht="15" x14ac:dyDescent="0.25">
      <c r="B1294" s="654"/>
      <c r="C1294" s="675"/>
      <c r="D1294" s="45" t="s">
        <v>609</v>
      </c>
      <c r="E1294" s="140" t="s">
        <v>17</v>
      </c>
      <c r="F1294" s="129">
        <v>4.7</v>
      </c>
      <c r="G1294" s="129">
        <v>6.3</v>
      </c>
      <c r="H1294" s="191">
        <f>F1294*G1294</f>
        <v>29.61</v>
      </c>
    </row>
    <row r="1295" spans="2:8" s="42" customFormat="1" ht="15.75" x14ac:dyDescent="0.25">
      <c r="B1295" s="654"/>
      <c r="C1295" s="675"/>
      <c r="D1295" s="101" t="s">
        <v>21</v>
      </c>
      <c r="E1295" s="96" t="s">
        <v>17</v>
      </c>
      <c r="F1295" s="97" t="s">
        <v>27</v>
      </c>
      <c r="G1295" s="97" t="s">
        <v>19</v>
      </c>
      <c r="H1295" s="201">
        <f>H1296</f>
        <v>22.324999999999999</v>
      </c>
    </row>
    <row r="1296" spans="2:8" s="42" customFormat="1" ht="15" x14ac:dyDescent="0.25">
      <c r="B1296" s="654"/>
      <c r="C1296" s="675"/>
      <c r="D1296" s="45" t="s">
        <v>610</v>
      </c>
      <c r="E1296" s="140" t="s">
        <v>17</v>
      </c>
      <c r="F1296" s="167">
        <v>4.75</v>
      </c>
      <c r="G1296" s="167">
        <v>4.7</v>
      </c>
      <c r="H1296" s="191">
        <f>F1296*G1296</f>
        <v>22.324999999999999</v>
      </c>
    </row>
    <row r="1297" spans="2:8" s="42" customFormat="1" ht="15.75" x14ac:dyDescent="0.25">
      <c r="B1297" s="654"/>
      <c r="C1297" s="675"/>
      <c r="D1297" s="101" t="s">
        <v>22</v>
      </c>
      <c r="E1297" s="140" t="s">
        <v>17</v>
      </c>
      <c r="F1297" s="97" t="s">
        <v>27</v>
      </c>
      <c r="G1297" s="97" t="s">
        <v>19</v>
      </c>
      <c r="H1297" s="201">
        <f>H1298</f>
        <v>31.85</v>
      </c>
    </row>
    <row r="1298" spans="2:8" s="42" customFormat="1" ht="15" x14ac:dyDescent="0.25">
      <c r="B1298" s="654"/>
      <c r="C1298" s="675"/>
      <c r="D1298" s="45" t="s">
        <v>611</v>
      </c>
      <c r="E1298" s="140" t="s">
        <v>17</v>
      </c>
      <c r="F1298" s="167">
        <v>4.9000000000000004</v>
      </c>
      <c r="G1298" s="167">
        <v>6.5</v>
      </c>
      <c r="H1298" s="191">
        <f>F1298*G1298</f>
        <v>31.85</v>
      </c>
    </row>
    <row r="1299" spans="2:8" s="42" customFormat="1" ht="15.75" x14ac:dyDescent="0.25">
      <c r="B1299" s="654"/>
      <c r="C1299" s="675"/>
      <c r="D1299" s="101" t="s">
        <v>29</v>
      </c>
      <c r="E1299" s="140" t="s">
        <v>17</v>
      </c>
      <c r="F1299" s="97" t="s">
        <v>27</v>
      </c>
      <c r="G1299" s="97" t="s">
        <v>19</v>
      </c>
      <c r="H1299" s="201">
        <f>H1300</f>
        <v>29.61</v>
      </c>
    </row>
    <row r="1300" spans="2:8" s="42" customFormat="1" ht="15" x14ac:dyDescent="0.25">
      <c r="B1300" s="654"/>
      <c r="C1300" s="675"/>
      <c r="D1300" s="45" t="s">
        <v>612</v>
      </c>
      <c r="E1300" s="140" t="s">
        <v>17</v>
      </c>
      <c r="F1300" s="167">
        <v>4.7</v>
      </c>
      <c r="G1300" s="167">
        <v>6.3</v>
      </c>
      <c r="H1300" s="191">
        <f>F1300*G1300</f>
        <v>29.61</v>
      </c>
    </row>
    <row r="1301" spans="2:8" s="42" customFormat="1" ht="15.75" x14ac:dyDescent="0.25">
      <c r="B1301" s="654"/>
      <c r="C1301" s="675"/>
      <c r="D1301" s="101" t="s">
        <v>613</v>
      </c>
      <c r="E1301" s="140" t="s">
        <v>17</v>
      </c>
      <c r="F1301" s="97" t="s">
        <v>27</v>
      </c>
      <c r="G1301" s="97" t="s">
        <v>19</v>
      </c>
      <c r="H1301" s="201">
        <f>H1302</f>
        <v>35.525000000000006</v>
      </c>
    </row>
    <row r="1302" spans="2:8" s="42" customFormat="1" ht="15" x14ac:dyDescent="0.25">
      <c r="B1302" s="654"/>
      <c r="C1302" s="675"/>
      <c r="D1302" s="40" t="s">
        <v>614</v>
      </c>
      <c r="E1302" s="140" t="s">
        <v>17</v>
      </c>
      <c r="F1302" s="167">
        <v>7.25</v>
      </c>
      <c r="G1302" s="167">
        <v>4.9000000000000004</v>
      </c>
      <c r="H1302" s="191">
        <f>F1302*G1302</f>
        <v>35.525000000000006</v>
      </c>
    </row>
    <row r="1303" spans="2:8" s="42" customFormat="1" ht="15.75" x14ac:dyDescent="0.25">
      <c r="B1303" s="654"/>
      <c r="C1303" s="675"/>
      <c r="D1303" s="339" t="s">
        <v>876</v>
      </c>
      <c r="E1303" s="140" t="s">
        <v>17</v>
      </c>
      <c r="F1303" s="97" t="s">
        <v>27</v>
      </c>
      <c r="G1303" s="97" t="s">
        <v>19</v>
      </c>
      <c r="H1303" s="201">
        <f>H1304</f>
        <v>17.150000000000002</v>
      </c>
    </row>
    <row r="1304" spans="2:8" s="42" customFormat="1" ht="15" x14ac:dyDescent="0.25">
      <c r="B1304" s="654"/>
      <c r="C1304" s="675"/>
      <c r="D1304" s="40" t="s">
        <v>614</v>
      </c>
      <c r="E1304" s="140" t="s">
        <v>17</v>
      </c>
      <c r="F1304" s="167">
        <v>3.5</v>
      </c>
      <c r="G1304" s="167">
        <v>4.9000000000000004</v>
      </c>
      <c r="H1304" s="191">
        <f>F1304*G1304</f>
        <v>17.150000000000002</v>
      </c>
    </row>
    <row r="1305" spans="2:8" s="42" customFormat="1" ht="15.75" x14ac:dyDescent="0.25">
      <c r="B1305" s="654"/>
      <c r="C1305" s="675"/>
      <c r="D1305" s="101" t="s">
        <v>616</v>
      </c>
      <c r="E1305" s="140" t="s">
        <v>17</v>
      </c>
      <c r="F1305" s="97" t="s">
        <v>27</v>
      </c>
      <c r="G1305" s="97" t="s">
        <v>19</v>
      </c>
      <c r="H1305" s="201">
        <f>H1306</f>
        <v>2.2000000000000002</v>
      </c>
    </row>
    <row r="1306" spans="2:8" s="42" customFormat="1" ht="15" x14ac:dyDescent="0.25">
      <c r="B1306" s="654"/>
      <c r="C1306" s="675"/>
      <c r="D1306" s="40" t="s">
        <v>617</v>
      </c>
      <c r="E1306" s="140" t="s">
        <v>17</v>
      </c>
      <c r="F1306" s="167">
        <v>2.2000000000000002</v>
      </c>
      <c r="G1306" s="167">
        <v>1</v>
      </c>
      <c r="H1306" s="191">
        <f>F1306*G1306</f>
        <v>2.2000000000000002</v>
      </c>
    </row>
    <row r="1307" spans="2:8" s="42" customFormat="1" ht="15.75" x14ac:dyDescent="0.25">
      <c r="B1307" s="654"/>
      <c r="C1307" s="675"/>
      <c r="D1307" s="101" t="s">
        <v>618</v>
      </c>
      <c r="E1307" s="140" t="s">
        <v>17</v>
      </c>
      <c r="F1307" s="97" t="s">
        <v>27</v>
      </c>
      <c r="G1307" s="97" t="s">
        <v>19</v>
      </c>
      <c r="H1307" s="201">
        <f>SUM(H1308:H1354)</f>
        <v>2549.4400000000014</v>
      </c>
    </row>
    <row r="1308" spans="2:8" s="42" customFormat="1" ht="15" x14ac:dyDescent="0.25">
      <c r="B1308" s="654"/>
      <c r="C1308" s="675"/>
      <c r="D1308" s="40" t="s">
        <v>617</v>
      </c>
      <c r="E1308" s="140" t="s">
        <v>17</v>
      </c>
      <c r="F1308" s="167">
        <v>1.5</v>
      </c>
      <c r="G1308" s="167">
        <v>1</v>
      </c>
      <c r="H1308" s="191">
        <f>F1308*G1308</f>
        <v>1.5</v>
      </c>
    </row>
    <row r="1309" spans="2:8" s="42" customFormat="1" ht="15.75" x14ac:dyDescent="0.25">
      <c r="B1309" s="654"/>
      <c r="C1309" s="675"/>
      <c r="D1309" s="399" t="s">
        <v>877</v>
      </c>
      <c r="E1309" s="397"/>
      <c r="F1309" s="397"/>
      <c r="G1309" s="397"/>
      <c r="H1309" s="398"/>
    </row>
    <row r="1310" spans="2:8" s="42" customFormat="1" ht="15.75" x14ac:dyDescent="0.25">
      <c r="B1310" s="654"/>
      <c r="C1310" s="675"/>
      <c r="D1310" s="101" t="s">
        <v>878</v>
      </c>
      <c r="E1310" s="400" t="s">
        <v>17</v>
      </c>
      <c r="F1310" s="97" t="s">
        <v>27</v>
      </c>
      <c r="G1310" s="97" t="s">
        <v>19</v>
      </c>
      <c r="H1310" s="201">
        <f>SUM(H1311:H1354)</f>
        <v>1273.9699999999993</v>
      </c>
    </row>
    <row r="1311" spans="2:8" s="42" customFormat="1" ht="15" x14ac:dyDescent="0.25">
      <c r="B1311" s="654"/>
      <c r="C1311" s="675"/>
      <c r="D1311" s="40" t="s">
        <v>64</v>
      </c>
      <c r="E1311" s="140" t="s">
        <v>17</v>
      </c>
      <c r="F1311" s="167">
        <f>7.55*2+5.25*2</f>
        <v>25.6</v>
      </c>
      <c r="G1311" s="167">
        <v>3</v>
      </c>
      <c r="H1311" s="193">
        <f>G1311*F1311*2</f>
        <v>153.60000000000002</v>
      </c>
    </row>
    <row r="1312" spans="2:8" s="42" customFormat="1" ht="15" x14ac:dyDescent="0.25">
      <c r="B1312" s="654"/>
      <c r="C1312" s="846"/>
      <c r="D1312" s="335" t="s">
        <v>759</v>
      </c>
      <c r="E1312" s="140" t="s">
        <v>17</v>
      </c>
      <c r="F1312" s="167">
        <v>-1.8</v>
      </c>
      <c r="G1312" s="167">
        <v>1.2</v>
      </c>
      <c r="H1312" s="193">
        <f>G1312*F1312*3</f>
        <v>-6.48</v>
      </c>
    </row>
    <row r="1313" spans="2:8" s="42" customFormat="1" ht="15" x14ac:dyDescent="0.25">
      <c r="B1313" s="654"/>
      <c r="C1313" s="675"/>
      <c r="D1313" s="40" t="s">
        <v>725</v>
      </c>
      <c r="E1313" s="140" t="s">
        <v>17</v>
      </c>
      <c r="F1313" s="167">
        <f>2.65*2+4.75*2</f>
        <v>14.8</v>
      </c>
      <c r="G1313" s="167">
        <v>3</v>
      </c>
      <c r="H1313" s="193">
        <f>G1313*F1313*2</f>
        <v>88.800000000000011</v>
      </c>
    </row>
    <row r="1314" spans="2:8" s="42" customFormat="1" ht="15" x14ac:dyDescent="0.25">
      <c r="B1314" s="654"/>
      <c r="C1314" s="655"/>
      <c r="D1314" s="334" t="s">
        <v>760</v>
      </c>
      <c r="E1314" s="140" t="s">
        <v>17</v>
      </c>
      <c r="F1314" s="167">
        <v>-0.8</v>
      </c>
      <c r="G1314" s="167">
        <v>1.6</v>
      </c>
      <c r="H1314" s="193">
        <f>G1314*F1314</f>
        <v>-1.2800000000000002</v>
      </c>
    </row>
    <row r="1315" spans="2:8" s="42" customFormat="1" ht="15" x14ac:dyDescent="0.25">
      <c r="B1315" s="654"/>
      <c r="C1315" s="675"/>
      <c r="D1315" s="40" t="s">
        <v>761</v>
      </c>
      <c r="E1315" s="140" t="s">
        <v>17</v>
      </c>
      <c r="F1315" s="167">
        <v>-0.9</v>
      </c>
      <c r="G1315" s="167">
        <v>2.1</v>
      </c>
      <c r="H1315" s="193">
        <f>G1315*F1315</f>
        <v>-1.8900000000000001</v>
      </c>
    </row>
    <row r="1316" spans="2:8" s="42" customFormat="1" ht="15" x14ac:dyDescent="0.25">
      <c r="B1316" s="654"/>
      <c r="C1316" s="675"/>
      <c r="D1316" s="40" t="s">
        <v>727</v>
      </c>
      <c r="E1316" s="140" t="s">
        <v>17</v>
      </c>
      <c r="F1316" s="167">
        <f>2.65*2+4.75*2</f>
        <v>14.8</v>
      </c>
      <c r="G1316" s="167">
        <v>3</v>
      </c>
      <c r="H1316" s="193">
        <f>G1316*F1316*2</f>
        <v>88.800000000000011</v>
      </c>
    </row>
    <row r="1317" spans="2:8" s="42" customFormat="1" ht="15" x14ac:dyDescent="0.25">
      <c r="B1317" s="654"/>
      <c r="C1317" s="655"/>
      <c r="D1317" s="334" t="s">
        <v>760</v>
      </c>
      <c r="E1317" s="140" t="s">
        <v>17</v>
      </c>
      <c r="F1317" s="167">
        <v>-0.8</v>
      </c>
      <c r="G1317" s="167">
        <v>1.6</v>
      </c>
      <c r="H1317" s="193">
        <f>G1317*F1317</f>
        <v>-1.2800000000000002</v>
      </c>
    </row>
    <row r="1318" spans="2:8" s="42" customFormat="1" ht="15" x14ac:dyDescent="0.25">
      <c r="B1318" s="654"/>
      <c r="C1318" s="675"/>
      <c r="D1318" s="40" t="s">
        <v>761</v>
      </c>
      <c r="E1318" s="140" t="s">
        <v>17</v>
      </c>
      <c r="F1318" s="167">
        <v>-0.9</v>
      </c>
      <c r="G1318" s="167">
        <v>2.1</v>
      </c>
      <c r="H1318" s="193">
        <f>G1318*F1318</f>
        <v>-1.8900000000000001</v>
      </c>
    </row>
    <row r="1319" spans="2:8" s="42" customFormat="1" ht="15" x14ac:dyDescent="0.25">
      <c r="B1319" s="654"/>
      <c r="C1319" s="675"/>
      <c r="D1319" s="40" t="s">
        <v>347</v>
      </c>
      <c r="E1319" s="140" t="s">
        <v>17</v>
      </c>
      <c r="F1319" s="167">
        <f>1.7*2+1.65*2</f>
        <v>6.6999999999999993</v>
      </c>
      <c r="G1319" s="167">
        <v>3</v>
      </c>
      <c r="H1319" s="193">
        <f>G1319*F1319</f>
        <v>20.099999999999998</v>
      </c>
    </row>
    <row r="1320" spans="2:8" s="42" customFormat="1" ht="15" x14ac:dyDescent="0.25">
      <c r="B1320" s="654"/>
      <c r="C1320" s="675"/>
      <c r="D1320" s="40" t="s">
        <v>762</v>
      </c>
      <c r="E1320" s="140" t="s">
        <v>17</v>
      </c>
      <c r="F1320" s="167">
        <v>-1</v>
      </c>
      <c r="G1320" s="167">
        <v>2.1</v>
      </c>
      <c r="H1320" s="193">
        <f>G1320*F1320</f>
        <v>-2.1</v>
      </c>
    </row>
    <row r="1321" spans="2:8" s="42" customFormat="1" ht="15" x14ac:dyDescent="0.25">
      <c r="B1321" s="654"/>
      <c r="C1321" s="675"/>
      <c r="D1321" s="40" t="s">
        <v>335</v>
      </c>
      <c r="E1321" s="140" t="s">
        <v>17</v>
      </c>
      <c r="F1321" s="167">
        <v>10</v>
      </c>
      <c r="G1321" s="167">
        <v>3</v>
      </c>
      <c r="H1321" s="193">
        <f>G1321*F1321</f>
        <v>30</v>
      </c>
    </row>
    <row r="1322" spans="2:8" s="42" customFormat="1" ht="15" x14ac:dyDescent="0.25">
      <c r="B1322" s="654"/>
      <c r="C1322" s="675"/>
      <c r="D1322" s="40" t="s">
        <v>353</v>
      </c>
      <c r="E1322" s="140" t="s">
        <v>17</v>
      </c>
      <c r="F1322" s="43">
        <f>2.2+3.5</f>
        <v>5.7</v>
      </c>
      <c r="G1322" s="43">
        <v>3</v>
      </c>
      <c r="H1322" s="193">
        <f>G1322*F1322*2</f>
        <v>34.200000000000003</v>
      </c>
    </row>
    <row r="1323" spans="2:8" s="42" customFormat="1" ht="15" x14ac:dyDescent="0.25">
      <c r="B1323" s="654"/>
      <c r="C1323" s="675"/>
      <c r="D1323" s="94" t="s">
        <v>879</v>
      </c>
      <c r="E1323" s="140" t="s">
        <v>17</v>
      </c>
      <c r="F1323" s="43">
        <f>-(1.2*1.8+1.5*1)</f>
        <v>-3.66</v>
      </c>
      <c r="G1323" s="43">
        <v>3</v>
      </c>
      <c r="H1323" s="193">
        <f>G1323*F1323</f>
        <v>-10.98</v>
      </c>
    </row>
    <row r="1324" spans="2:8" s="42" customFormat="1" ht="15" x14ac:dyDescent="0.25">
      <c r="B1324" s="654"/>
      <c r="C1324" s="675"/>
      <c r="D1324" s="40" t="s">
        <v>570</v>
      </c>
      <c r="E1324" s="140" t="s">
        <v>17</v>
      </c>
      <c r="F1324" s="43">
        <f>2.2*2+1.4*2</f>
        <v>7.2</v>
      </c>
      <c r="G1324" s="43">
        <v>3</v>
      </c>
      <c r="H1324" s="193">
        <f>G1324*F1324*2</f>
        <v>43.2</v>
      </c>
    </row>
    <row r="1325" spans="2:8" s="42" customFormat="1" ht="15" x14ac:dyDescent="0.25">
      <c r="B1325" s="654"/>
      <c r="C1325" s="655"/>
      <c r="D1325" s="334" t="s">
        <v>764</v>
      </c>
      <c r="E1325" s="140" t="s">
        <v>17</v>
      </c>
      <c r="F1325" s="43">
        <v>-0.6</v>
      </c>
      <c r="G1325" s="43">
        <v>0.5</v>
      </c>
      <c r="H1325" s="193">
        <f>G1325*F1325</f>
        <v>-0.3</v>
      </c>
    </row>
    <row r="1326" spans="2:8" s="42" customFormat="1" ht="15" x14ac:dyDescent="0.25">
      <c r="B1326" s="654"/>
      <c r="C1326" s="655"/>
      <c r="D1326" s="334" t="s">
        <v>766</v>
      </c>
      <c r="E1326" s="140" t="s">
        <v>17</v>
      </c>
      <c r="F1326" s="43">
        <v>-0.7</v>
      </c>
      <c r="G1326" s="43">
        <v>2.1</v>
      </c>
      <c r="H1326" s="193">
        <f>G1326*F1326</f>
        <v>-1.47</v>
      </c>
    </row>
    <row r="1327" spans="2:8" s="42" customFormat="1" ht="15" x14ac:dyDescent="0.25">
      <c r="B1327" s="654"/>
      <c r="C1327" s="675"/>
      <c r="D1327" s="40" t="s">
        <v>569</v>
      </c>
      <c r="E1327" s="140" t="s">
        <v>17</v>
      </c>
      <c r="F1327" s="43">
        <f>2.2*2+1.4*2</f>
        <v>7.2</v>
      </c>
      <c r="G1327" s="43">
        <v>3</v>
      </c>
      <c r="H1327" s="193">
        <f>G1327*F1327*2</f>
        <v>43.2</v>
      </c>
    </row>
    <row r="1328" spans="2:8" s="42" customFormat="1" ht="15" x14ac:dyDescent="0.25">
      <c r="B1328" s="654"/>
      <c r="C1328" s="655"/>
      <c r="D1328" s="334" t="s">
        <v>764</v>
      </c>
      <c r="E1328" s="140" t="s">
        <v>17</v>
      </c>
      <c r="F1328" s="43">
        <v>-0.6</v>
      </c>
      <c r="G1328" s="43">
        <v>0.5</v>
      </c>
      <c r="H1328" s="193">
        <f>G1328*F1328</f>
        <v>-0.3</v>
      </c>
    </row>
    <row r="1329" spans="2:8" s="42" customFormat="1" ht="15" x14ac:dyDescent="0.25">
      <c r="B1329" s="654"/>
      <c r="C1329" s="655"/>
      <c r="D1329" s="337" t="s">
        <v>766</v>
      </c>
      <c r="E1329" s="171" t="s">
        <v>17</v>
      </c>
      <c r="F1329" s="43">
        <v>-0.7</v>
      </c>
      <c r="G1329" s="43">
        <v>2.1</v>
      </c>
      <c r="H1329" s="193">
        <f>G1329*F1329</f>
        <v>-1.47</v>
      </c>
    </row>
    <row r="1330" spans="2:8" s="42" customFormat="1" ht="15" x14ac:dyDescent="0.25">
      <c r="B1330" s="654"/>
      <c r="C1330" s="675"/>
      <c r="D1330" s="40" t="s">
        <v>572</v>
      </c>
      <c r="E1330" s="140" t="s">
        <v>17</v>
      </c>
      <c r="F1330" s="43">
        <f>1.2*2+2*2</f>
        <v>6.4</v>
      </c>
      <c r="G1330" s="43">
        <v>3</v>
      </c>
      <c r="H1330" s="193">
        <f>G1330*F1330*2</f>
        <v>38.400000000000006</v>
      </c>
    </row>
    <row r="1331" spans="2:8" s="42" customFormat="1" ht="15" x14ac:dyDescent="0.25">
      <c r="B1331" s="654"/>
      <c r="C1331" s="655"/>
      <c r="D1331" s="334" t="s">
        <v>767</v>
      </c>
      <c r="E1331" s="140" t="s">
        <v>17</v>
      </c>
      <c r="F1331" s="43">
        <v>-0.6</v>
      </c>
      <c r="G1331" s="43">
        <v>1.2</v>
      </c>
      <c r="H1331" s="193">
        <f>G1331*F1331</f>
        <v>-0.72</v>
      </c>
    </row>
    <row r="1332" spans="2:8" s="42" customFormat="1" ht="15" x14ac:dyDescent="0.25">
      <c r="B1332" s="654"/>
      <c r="C1332" s="655"/>
      <c r="D1332" s="334" t="s">
        <v>880</v>
      </c>
      <c r="E1332" s="140" t="s">
        <v>17</v>
      </c>
      <c r="F1332" s="43">
        <v>-0.8</v>
      </c>
      <c r="G1332" s="43">
        <v>2.1</v>
      </c>
      <c r="H1332" s="193">
        <f>G1332*F1332*2</f>
        <v>-3.3600000000000003</v>
      </c>
    </row>
    <row r="1333" spans="2:8" s="42" customFormat="1" ht="15" x14ac:dyDescent="0.2">
      <c r="B1333" s="654"/>
      <c r="C1333" s="675"/>
      <c r="D1333" s="100" t="s">
        <v>331</v>
      </c>
      <c r="E1333" s="140" t="s">
        <v>17</v>
      </c>
      <c r="F1333" s="43">
        <v>8.8000000000000007</v>
      </c>
      <c r="G1333" s="43">
        <v>3</v>
      </c>
      <c r="H1333" s="193">
        <f>G1333*F1333*2</f>
        <v>52.800000000000004</v>
      </c>
    </row>
    <row r="1334" spans="2:8" s="42" customFormat="1" ht="15" x14ac:dyDescent="0.2">
      <c r="B1334" s="654"/>
      <c r="C1334" s="675"/>
      <c r="D1334" s="100" t="s">
        <v>28</v>
      </c>
      <c r="E1334" s="140" t="s">
        <v>17</v>
      </c>
      <c r="F1334" s="43">
        <f>4.7*2+6.3*2</f>
        <v>22</v>
      </c>
      <c r="G1334" s="43">
        <v>3</v>
      </c>
      <c r="H1334" s="193">
        <f>G1334*F1334*2</f>
        <v>132</v>
      </c>
    </row>
    <row r="1335" spans="2:8" s="42" customFormat="1" ht="15" x14ac:dyDescent="0.2">
      <c r="B1335" s="654"/>
      <c r="C1335" s="675"/>
      <c r="D1335" s="100" t="s">
        <v>759</v>
      </c>
      <c r="E1335" s="140" t="s">
        <v>17</v>
      </c>
      <c r="F1335" s="43">
        <v>-1.8</v>
      </c>
      <c r="G1335" s="43">
        <v>1.2</v>
      </c>
      <c r="H1335" s="193">
        <f>G1335*F1335*3</f>
        <v>-6.48</v>
      </c>
    </row>
    <row r="1336" spans="2:8" s="42" customFormat="1" ht="15" x14ac:dyDescent="0.2">
      <c r="B1336" s="654"/>
      <c r="C1336" s="655"/>
      <c r="D1336" s="336" t="s">
        <v>761</v>
      </c>
      <c r="E1336" s="140" t="s">
        <v>17</v>
      </c>
      <c r="F1336" s="43">
        <v>-0.9</v>
      </c>
      <c r="G1336" s="43">
        <v>2.1</v>
      </c>
      <c r="H1336" s="193">
        <f>G1336*F1336</f>
        <v>-1.8900000000000001</v>
      </c>
    </row>
    <row r="1337" spans="2:8" s="42" customFormat="1" ht="15" x14ac:dyDescent="0.2">
      <c r="B1337" s="654"/>
      <c r="C1337" s="675"/>
      <c r="D1337" s="100" t="s">
        <v>21</v>
      </c>
      <c r="E1337" s="140" t="s">
        <v>17</v>
      </c>
      <c r="F1337" s="43">
        <f>4.7*2+4.7*2</f>
        <v>18.8</v>
      </c>
      <c r="G1337" s="43">
        <v>3</v>
      </c>
      <c r="H1337" s="193">
        <f>G1337*F1337*2</f>
        <v>112.80000000000001</v>
      </c>
    </row>
    <row r="1338" spans="2:8" s="42" customFormat="1" ht="15" x14ac:dyDescent="0.2">
      <c r="B1338" s="654"/>
      <c r="C1338" s="675"/>
      <c r="D1338" s="100" t="s">
        <v>759</v>
      </c>
      <c r="E1338" s="140" t="s">
        <v>17</v>
      </c>
      <c r="F1338" s="43">
        <v>-1.8</v>
      </c>
      <c r="G1338" s="43">
        <v>1.2</v>
      </c>
      <c r="H1338" s="193">
        <f>G1338*F1338*3</f>
        <v>-6.48</v>
      </c>
    </row>
    <row r="1339" spans="2:8" s="42" customFormat="1" ht="15" x14ac:dyDescent="0.2">
      <c r="B1339" s="654"/>
      <c r="C1339" s="655"/>
      <c r="D1339" s="336" t="s">
        <v>780</v>
      </c>
      <c r="E1339" s="140" t="s">
        <v>17</v>
      </c>
      <c r="F1339" s="43">
        <v>-0.9</v>
      </c>
      <c r="G1339" s="43">
        <v>2.1</v>
      </c>
      <c r="H1339" s="193">
        <f>G1339*F1339</f>
        <v>-1.8900000000000001</v>
      </c>
    </row>
    <row r="1340" spans="2:8" s="42" customFormat="1" ht="15" x14ac:dyDescent="0.2">
      <c r="B1340" s="654"/>
      <c r="C1340" s="675"/>
      <c r="D1340" s="100" t="s">
        <v>22</v>
      </c>
      <c r="E1340" s="140" t="s">
        <v>17</v>
      </c>
      <c r="F1340" s="43">
        <f>4.9*2+6.5*2</f>
        <v>22.8</v>
      </c>
      <c r="G1340" s="43">
        <v>3</v>
      </c>
      <c r="H1340" s="193">
        <f>G1340*F1340*2</f>
        <v>136.80000000000001</v>
      </c>
    </row>
    <row r="1341" spans="2:8" s="42" customFormat="1" ht="15" x14ac:dyDescent="0.2">
      <c r="B1341" s="654"/>
      <c r="C1341" s="675"/>
      <c r="D1341" s="100" t="s">
        <v>771</v>
      </c>
      <c r="E1341" s="140" t="s">
        <v>17</v>
      </c>
      <c r="F1341" s="43">
        <v>-1.8</v>
      </c>
      <c r="G1341" s="43">
        <v>1.2</v>
      </c>
      <c r="H1341" s="193">
        <f>G1341*F1341</f>
        <v>-2.16</v>
      </c>
    </row>
    <row r="1342" spans="2:8" s="42" customFormat="1" ht="15" x14ac:dyDescent="0.2">
      <c r="B1342" s="654"/>
      <c r="C1342" s="675"/>
      <c r="D1342" s="100" t="s">
        <v>761</v>
      </c>
      <c r="E1342" s="140" t="s">
        <v>17</v>
      </c>
      <c r="F1342" s="43">
        <v>-0.9</v>
      </c>
      <c r="G1342" s="43">
        <v>2.1</v>
      </c>
      <c r="H1342" s="193">
        <f>G1342*F1342</f>
        <v>-1.8900000000000001</v>
      </c>
    </row>
    <row r="1343" spans="2:8" s="42" customFormat="1" ht="15" x14ac:dyDescent="0.2">
      <c r="B1343" s="654"/>
      <c r="C1343" s="655"/>
      <c r="D1343" s="336" t="s">
        <v>781</v>
      </c>
      <c r="E1343" s="140" t="s">
        <v>17</v>
      </c>
      <c r="F1343" s="43">
        <v>-2</v>
      </c>
      <c r="G1343" s="43">
        <v>2.1</v>
      </c>
      <c r="H1343" s="193">
        <f>G1343*F1343</f>
        <v>-4.2</v>
      </c>
    </row>
    <row r="1344" spans="2:8" s="42" customFormat="1" ht="15" x14ac:dyDescent="0.2">
      <c r="B1344" s="654"/>
      <c r="C1344" s="675"/>
      <c r="D1344" s="100" t="s">
        <v>29</v>
      </c>
      <c r="E1344" s="140" t="s">
        <v>17</v>
      </c>
      <c r="F1344" s="43">
        <f>4.7*2+6.3*2</f>
        <v>22</v>
      </c>
      <c r="G1344" s="43">
        <v>3</v>
      </c>
      <c r="H1344" s="193">
        <f>G1344*F1344*2</f>
        <v>132</v>
      </c>
    </row>
    <row r="1345" spans="2:8" s="42" customFormat="1" ht="15" x14ac:dyDescent="0.2">
      <c r="B1345" s="654"/>
      <c r="C1345" s="675"/>
      <c r="D1345" s="100" t="s">
        <v>771</v>
      </c>
      <c r="E1345" s="140" t="s">
        <v>17</v>
      </c>
      <c r="F1345" s="43">
        <v>-1.8</v>
      </c>
      <c r="G1345" s="43">
        <v>1.2</v>
      </c>
      <c r="H1345" s="193">
        <f>G1345*F1345</f>
        <v>-2.16</v>
      </c>
    </row>
    <row r="1346" spans="2:8" s="42" customFormat="1" ht="15" x14ac:dyDescent="0.2">
      <c r="B1346" s="654"/>
      <c r="C1346" s="675"/>
      <c r="D1346" s="100" t="s">
        <v>773</v>
      </c>
      <c r="E1346" s="140" t="s">
        <v>17</v>
      </c>
      <c r="F1346" s="43">
        <v>-0.6</v>
      </c>
      <c r="G1346" s="43">
        <v>1.8</v>
      </c>
      <c r="H1346" s="193">
        <f>G1346*F1346*2</f>
        <v>-2.16</v>
      </c>
    </row>
    <row r="1347" spans="2:8" s="42" customFormat="1" ht="15" x14ac:dyDescent="0.2">
      <c r="B1347" s="654"/>
      <c r="C1347" s="655"/>
      <c r="D1347" s="336" t="s">
        <v>761</v>
      </c>
      <c r="E1347" s="140" t="s">
        <v>17</v>
      </c>
      <c r="F1347" s="43">
        <v>-0.9</v>
      </c>
      <c r="G1347" s="43">
        <v>2.1</v>
      </c>
      <c r="H1347" s="193">
        <f>G1347*F1347</f>
        <v>-1.8900000000000001</v>
      </c>
    </row>
    <row r="1348" spans="2:8" s="42" customFormat="1" ht="15" x14ac:dyDescent="0.2">
      <c r="B1348" s="654"/>
      <c r="C1348" s="675"/>
      <c r="D1348" s="100" t="s">
        <v>781</v>
      </c>
      <c r="E1348" s="140" t="s">
        <v>17</v>
      </c>
      <c r="F1348" s="43">
        <v>-2</v>
      </c>
      <c r="G1348" s="43">
        <v>2.1</v>
      </c>
      <c r="H1348" s="193">
        <f>G1348*F1348</f>
        <v>-4.2</v>
      </c>
    </row>
    <row r="1349" spans="2:8" s="42" customFormat="1" ht="15" x14ac:dyDescent="0.2">
      <c r="B1349" s="654"/>
      <c r="C1349" s="675"/>
      <c r="D1349" s="100" t="s">
        <v>613</v>
      </c>
      <c r="E1349" s="140" t="s">
        <v>17</v>
      </c>
      <c r="F1349" s="43">
        <f>7.25*2+4.9*2</f>
        <v>24.3</v>
      </c>
      <c r="G1349" s="43">
        <v>3</v>
      </c>
      <c r="H1349" s="193">
        <f>G1349*F1349*2</f>
        <v>145.80000000000001</v>
      </c>
    </row>
    <row r="1350" spans="2:8" s="42" customFormat="1" ht="15" x14ac:dyDescent="0.2">
      <c r="B1350" s="654"/>
      <c r="C1350" s="675"/>
      <c r="D1350" s="100" t="s">
        <v>771</v>
      </c>
      <c r="E1350" s="140" t="s">
        <v>17</v>
      </c>
      <c r="F1350" s="43">
        <v>-1.8</v>
      </c>
      <c r="G1350" s="43">
        <v>1.2</v>
      </c>
      <c r="H1350" s="193">
        <f>G1350*F1350</f>
        <v>-2.16</v>
      </c>
    </row>
    <row r="1351" spans="2:8" s="42" customFormat="1" ht="15" x14ac:dyDescent="0.2">
      <c r="B1351" s="654"/>
      <c r="C1351" s="675"/>
      <c r="D1351" s="100" t="s">
        <v>773</v>
      </c>
      <c r="E1351" s="140" t="s">
        <v>17</v>
      </c>
      <c r="F1351" s="43">
        <v>-0.6</v>
      </c>
      <c r="G1351" s="43">
        <v>1.8</v>
      </c>
      <c r="H1351" s="193">
        <f>G1351*F1351*2</f>
        <v>-2.16</v>
      </c>
    </row>
    <row r="1352" spans="2:8" s="42" customFormat="1" ht="15" x14ac:dyDescent="0.2">
      <c r="B1352" s="654"/>
      <c r="C1352" s="675"/>
      <c r="D1352" s="100" t="s">
        <v>761</v>
      </c>
      <c r="E1352" s="140" t="s">
        <v>17</v>
      </c>
      <c r="F1352" s="43">
        <v>-0.9</v>
      </c>
      <c r="G1352" s="43">
        <v>2.1</v>
      </c>
      <c r="H1352" s="193">
        <f>G1352*F1352</f>
        <v>-1.8900000000000001</v>
      </c>
    </row>
    <row r="1353" spans="2:8" s="42" customFormat="1" ht="15" x14ac:dyDescent="0.25">
      <c r="B1353" s="654"/>
      <c r="C1353" s="675"/>
      <c r="D1353" s="353" t="s">
        <v>355</v>
      </c>
      <c r="E1353" s="140" t="s">
        <v>17</v>
      </c>
      <c r="F1353" s="140">
        <f>3.5*2+4.9*2</f>
        <v>16.8</v>
      </c>
      <c r="G1353" s="331">
        <v>3</v>
      </c>
      <c r="H1353" s="193">
        <f>G1353*F1353*2</f>
        <v>100.80000000000001</v>
      </c>
    </row>
    <row r="1354" spans="2:8" s="42" customFormat="1" ht="15" x14ac:dyDescent="0.25">
      <c r="B1354" s="656"/>
      <c r="C1354" s="657"/>
      <c r="D1354" s="338" t="s">
        <v>775</v>
      </c>
      <c r="E1354" s="208" t="s">
        <v>17</v>
      </c>
      <c r="F1354" s="262">
        <v>-2</v>
      </c>
      <c r="G1354" s="333">
        <v>2.1</v>
      </c>
      <c r="H1354" s="330">
        <f>F1354*G1354</f>
        <v>-4.2</v>
      </c>
    </row>
    <row r="1355" spans="2:8" s="42" customFormat="1" ht="15.75" x14ac:dyDescent="0.25">
      <c r="B1355" s="598" t="s">
        <v>881</v>
      </c>
      <c r="C1355" s="442">
        <v>261550</v>
      </c>
      <c r="D1355" s="51" t="s">
        <v>882</v>
      </c>
      <c r="E1355" s="49" t="s">
        <v>17</v>
      </c>
      <c r="F1355" s="169" t="s">
        <v>27</v>
      </c>
      <c r="G1355" s="332" t="s">
        <v>40</v>
      </c>
      <c r="H1355" s="192">
        <f>SUM(H1356:H1416)</f>
        <v>414.30200000000019</v>
      </c>
    </row>
    <row r="1356" spans="2:8" s="42" customFormat="1" ht="15" x14ac:dyDescent="0.25">
      <c r="B1356" s="652"/>
      <c r="C1356" s="673"/>
      <c r="D1356" s="40" t="s">
        <v>883</v>
      </c>
      <c r="E1356" s="140" t="s">
        <v>17</v>
      </c>
      <c r="F1356" s="167">
        <f>7.05+4.3+5.3</f>
        <v>16.649999999999999</v>
      </c>
      <c r="G1356" s="167">
        <v>1.2</v>
      </c>
      <c r="H1356" s="191">
        <f>G1356*F1356</f>
        <v>19.979999999999997</v>
      </c>
    </row>
    <row r="1357" spans="2:8" s="42" customFormat="1" ht="15" x14ac:dyDescent="0.25">
      <c r="B1357" s="654"/>
      <c r="C1357" s="675"/>
      <c r="D1357" s="40" t="s">
        <v>884</v>
      </c>
      <c r="E1357" s="140" t="s">
        <v>17</v>
      </c>
      <c r="F1357" s="167">
        <f>0.3+2.2</f>
        <v>2.5</v>
      </c>
      <c r="G1357" s="167">
        <v>1.2</v>
      </c>
      <c r="H1357" s="191">
        <f t="shared" ref="H1357:H1366" si="45">G1357*F1357</f>
        <v>3</v>
      </c>
    </row>
    <row r="1358" spans="2:8" s="42" customFormat="1" ht="15" x14ac:dyDescent="0.25">
      <c r="B1358" s="654"/>
      <c r="C1358" s="675"/>
      <c r="D1358" s="40" t="s">
        <v>885</v>
      </c>
      <c r="E1358" s="140" t="s">
        <v>17</v>
      </c>
      <c r="F1358" s="165">
        <f>3.6+0.15</f>
        <v>3.75</v>
      </c>
      <c r="G1358" s="167">
        <v>1.2</v>
      </c>
      <c r="H1358" s="191">
        <f t="shared" si="45"/>
        <v>4.5</v>
      </c>
    </row>
    <row r="1359" spans="2:8" s="42" customFormat="1" ht="15" x14ac:dyDescent="0.25">
      <c r="B1359" s="654"/>
      <c r="C1359" s="675"/>
      <c r="D1359" s="40" t="s">
        <v>886</v>
      </c>
      <c r="E1359" s="140" t="s">
        <v>17</v>
      </c>
      <c r="F1359" s="165">
        <v>-1</v>
      </c>
      <c r="G1359" s="167">
        <v>-1</v>
      </c>
      <c r="H1359" s="191">
        <f>F1359</f>
        <v>-1</v>
      </c>
    </row>
    <row r="1360" spans="2:8" s="42" customFormat="1" ht="15" x14ac:dyDescent="0.25">
      <c r="B1360" s="654"/>
      <c r="C1360" s="675"/>
      <c r="D1360" s="40" t="s">
        <v>887</v>
      </c>
      <c r="E1360" s="140" t="s">
        <v>17</v>
      </c>
      <c r="F1360" s="167">
        <f>1.7+0.15</f>
        <v>1.8499999999999999</v>
      </c>
      <c r="G1360" s="167">
        <v>1.2</v>
      </c>
      <c r="H1360" s="191">
        <f t="shared" si="45"/>
        <v>2.2199999999999998</v>
      </c>
    </row>
    <row r="1361" spans="2:8" s="42" customFormat="1" ht="15" x14ac:dyDescent="0.25">
      <c r="B1361" s="654"/>
      <c r="C1361" s="675"/>
      <c r="D1361" s="40" t="s">
        <v>888</v>
      </c>
      <c r="E1361" s="140" t="s">
        <v>17</v>
      </c>
      <c r="F1361" s="165">
        <f>1.7+0.15</f>
        <v>1.8499999999999999</v>
      </c>
      <c r="G1361" s="167">
        <v>1.2</v>
      </c>
      <c r="H1361" s="191">
        <f t="shared" si="45"/>
        <v>2.2199999999999998</v>
      </c>
    </row>
    <row r="1362" spans="2:8" s="42" customFormat="1" ht="15" x14ac:dyDescent="0.25">
      <c r="B1362" s="654"/>
      <c r="C1362" s="675"/>
      <c r="D1362" s="40" t="s">
        <v>889</v>
      </c>
      <c r="E1362" s="140" t="s">
        <v>17</v>
      </c>
      <c r="F1362" s="165">
        <f>3.45+0.15</f>
        <v>3.6</v>
      </c>
      <c r="G1362" s="167">
        <v>1.2</v>
      </c>
      <c r="H1362" s="191">
        <f t="shared" si="45"/>
        <v>4.32</v>
      </c>
    </row>
    <row r="1363" spans="2:8" s="42" customFormat="1" ht="15" x14ac:dyDescent="0.25">
      <c r="B1363" s="654"/>
      <c r="C1363" s="655"/>
      <c r="D1363" s="334" t="s">
        <v>890</v>
      </c>
      <c r="E1363" s="140" t="s">
        <v>17</v>
      </c>
      <c r="F1363" s="165">
        <f>1.3+0.15</f>
        <v>1.45</v>
      </c>
      <c r="G1363" s="167">
        <v>1.2</v>
      </c>
      <c r="H1363" s="191">
        <f t="shared" si="45"/>
        <v>1.74</v>
      </c>
    </row>
    <row r="1364" spans="2:8" s="42" customFormat="1" ht="15" x14ac:dyDescent="0.25">
      <c r="B1364" s="654"/>
      <c r="C1364" s="655"/>
      <c r="D1364" s="334" t="s">
        <v>891</v>
      </c>
      <c r="E1364" s="140" t="s">
        <v>17</v>
      </c>
      <c r="F1364" s="167">
        <f>1.3+0.15+1.5</f>
        <v>2.95</v>
      </c>
      <c r="G1364" s="167">
        <v>1.2</v>
      </c>
      <c r="H1364" s="191">
        <f t="shared" si="45"/>
        <v>3.54</v>
      </c>
    </row>
    <row r="1365" spans="2:8" s="42" customFormat="1" ht="15" x14ac:dyDescent="0.25">
      <c r="B1365" s="654"/>
      <c r="C1365" s="655"/>
      <c r="D1365" s="334" t="s">
        <v>892</v>
      </c>
      <c r="E1365" s="140" t="s">
        <v>17</v>
      </c>
      <c r="F1365" s="165">
        <f>4.05+0.15+0.3+5.55</f>
        <v>10.050000000000001</v>
      </c>
      <c r="G1365" s="167">
        <v>1.2</v>
      </c>
      <c r="H1365" s="191">
        <f t="shared" si="45"/>
        <v>12.06</v>
      </c>
    </row>
    <row r="1366" spans="2:8" s="42" customFormat="1" ht="15" x14ac:dyDescent="0.25">
      <c r="B1366" s="654"/>
      <c r="C1366" s="655"/>
      <c r="D1366" s="334" t="s">
        <v>893</v>
      </c>
      <c r="E1366" s="140" t="s">
        <v>17</v>
      </c>
      <c r="F1366" s="167">
        <f>3.45+0.15</f>
        <v>3.6</v>
      </c>
      <c r="G1366" s="167">
        <v>1.2</v>
      </c>
      <c r="H1366" s="191">
        <f t="shared" si="45"/>
        <v>4.32</v>
      </c>
    </row>
    <row r="1367" spans="2:8" s="42" customFormat="1" ht="15" x14ac:dyDescent="0.25">
      <c r="B1367" s="654"/>
      <c r="C1367" s="675"/>
      <c r="D1367" s="40" t="s">
        <v>894</v>
      </c>
      <c r="E1367" s="140" t="s">
        <v>17</v>
      </c>
      <c r="F1367" s="165">
        <f>1.2</f>
        <v>1.2</v>
      </c>
      <c r="G1367" s="165">
        <v>-1.6</v>
      </c>
      <c r="H1367" s="191">
        <f>G1367*F1367</f>
        <v>-1.92</v>
      </c>
    </row>
    <row r="1368" spans="2:8" s="42" customFormat="1" ht="15" x14ac:dyDescent="0.25">
      <c r="B1368" s="654"/>
      <c r="C1368" s="675"/>
      <c r="D1368" s="40" t="s">
        <v>895</v>
      </c>
      <c r="E1368" s="140" t="s">
        <v>17</v>
      </c>
      <c r="F1368" s="165">
        <f>10.08+5.5</f>
        <v>15.58</v>
      </c>
      <c r="G1368" s="167">
        <v>1.2</v>
      </c>
      <c r="H1368" s="191">
        <f>G1368*F1368</f>
        <v>18.695999999999998</v>
      </c>
    </row>
    <row r="1369" spans="2:8" s="42" customFormat="1" ht="15" x14ac:dyDescent="0.25">
      <c r="B1369" s="654"/>
      <c r="C1369" s="675"/>
      <c r="D1369" s="40" t="s">
        <v>896</v>
      </c>
      <c r="E1369" s="140" t="s">
        <v>17</v>
      </c>
      <c r="F1369" s="165">
        <f>5.2+7.2</f>
        <v>12.4</v>
      </c>
      <c r="G1369" s="167">
        <v>1.2</v>
      </c>
      <c r="H1369" s="191">
        <f>G1369*F1369</f>
        <v>14.879999999999999</v>
      </c>
    </row>
    <row r="1370" spans="2:8" s="42" customFormat="1" ht="15" x14ac:dyDescent="0.25">
      <c r="B1370" s="654"/>
      <c r="C1370" s="675"/>
      <c r="D1370" s="40" t="s">
        <v>897</v>
      </c>
      <c r="E1370" s="140" t="s">
        <v>17</v>
      </c>
      <c r="F1370" s="165">
        <v>-1.2</v>
      </c>
      <c r="G1370" s="167">
        <v>0.8</v>
      </c>
      <c r="H1370" s="191">
        <f>G1370*F1370</f>
        <v>-0.96</v>
      </c>
    </row>
    <row r="1371" spans="2:8" s="42" customFormat="1" ht="15" x14ac:dyDescent="0.25">
      <c r="B1371" s="654"/>
      <c r="C1371" s="675"/>
      <c r="D1371" s="40" t="s">
        <v>898</v>
      </c>
      <c r="E1371" s="140" t="s">
        <v>17</v>
      </c>
      <c r="F1371" s="167">
        <f>7.1+5.35+9.17</f>
        <v>21.619999999999997</v>
      </c>
      <c r="G1371" s="167">
        <v>1.2</v>
      </c>
      <c r="H1371" s="191">
        <f>G1371*F1371</f>
        <v>25.943999999999996</v>
      </c>
    </row>
    <row r="1372" spans="2:8" s="42" customFormat="1" ht="15" x14ac:dyDescent="0.25">
      <c r="B1372" s="654"/>
      <c r="C1372" s="675"/>
      <c r="D1372" s="40" t="s">
        <v>899</v>
      </c>
      <c r="E1372" s="140" t="s">
        <v>17</v>
      </c>
      <c r="F1372" s="165">
        <v>-1.2</v>
      </c>
      <c r="G1372" s="167">
        <v>0.8</v>
      </c>
      <c r="H1372" s="191">
        <f>G1372*F1372*2</f>
        <v>-1.92</v>
      </c>
    </row>
    <row r="1373" spans="2:8" s="42" customFormat="1" ht="15" x14ac:dyDescent="0.25">
      <c r="B1373" s="654"/>
      <c r="C1373" s="675"/>
      <c r="D1373" s="40" t="s">
        <v>900</v>
      </c>
      <c r="E1373" s="140" t="s">
        <v>17</v>
      </c>
      <c r="F1373" s="165">
        <v>3.3</v>
      </c>
      <c r="G1373" s="167">
        <v>1.2</v>
      </c>
      <c r="H1373" s="191">
        <f>G1373+F1373</f>
        <v>4.5</v>
      </c>
    </row>
    <row r="1374" spans="2:8" s="42" customFormat="1" ht="15" x14ac:dyDescent="0.25">
      <c r="B1374" s="654"/>
      <c r="C1374" s="675"/>
      <c r="D1374" s="40" t="s">
        <v>901</v>
      </c>
      <c r="E1374" s="140" t="s">
        <v>17</v>
      </c>
      <c r="F1374" s="165">
        <f>7.1+5.35+7.2</f>
        <v>19.649999999999999</v>
      </c>
      <c r="G1374" s="167">
        <v>1.2</v>
      </c>
      <c r="H1374" s="191">
        <f>G1374+F1374</f>
        <v>20.849999999999998</v>
      </c>
    </row>
    <row r="1375" spans="2:8" s="42" customFormat="1" ht="15" x14ac:dyDescent="0.25">
      <c r="B1375" s="654"/>
      <c r="C1375" s="675"/>
      <c r="D1375" s="40" t="s">
        <v>897</v>
      </c>
      <c r="E1375" s="140" t="s">
        <v>17</v>
      </c>
      <c r="F1375" s="165">
        <v>-1.2</v>
      </c>
      <c r="G1375" s="167">
        <v>0.8</v>
      </c>
      <c r="H1375" s="191">
        <f>G1375*F1375</f>
        <v>-0.96</v>
      </c>
    </row>
    <row r="1376" spans="2:8" s="42" customFormat="1" ht="15" x14ac:dyDescent="0.25">
      <c r="B1376" s="654"/>
      <c r="C1376" s="675"/>
      <c r="D1376" s="40" t="s">
        <v>902</v>
      </c>
      <c r="E1376" s="140" t="s">
        <v>17</v>
      </c>
      <c r="F1376" s="165">
        <f>7.25+5.3+7.25</f>
        <v>19.8</v>
      </c>
      <c r="G1376" s="167">
        <v>1.2</v>
      </c>
      <c r="H1376" s="191">
        <f>G1376+F1376</f>
        <v>21</v>
      </c>
    </row>
    <row r="1377" spans="2:14" s="42" customFormat="1" ht="15" x14ac:dyDescent="0.25">
      <c r="B1377" s="654"/>
      <c r="C1377" s="675"/>
      <c r="D1377" s="40" t="s">
        <v>795</v>
      </c>
      <c r="E1377" s="140" t="s">
        <v>17</v>
      </c>
      <c r="F1377" s="165">
        <v>-1.2</v>
      </c>
      <c r="G1377" s="167">
        <v>0.8</v>
      </c>
      <c r="H1377" s="191">
        <f>G1377*F1377</f>
        <v>-0.96</v>
      </c>
    </row>
    <row r="1378" spans="2:14" s="42" customFormat="1" ht="15" x14ac:dyDescent="0.25">
      <c r="B1378" s="654"/>
      <c r="C1378" s="675"/>
      <c r="D1378" s="40" t="s">
        <v>903</v>
      </c>
      <c r="E1378" s="140" t="s">
        <v>17</v>
      </c>
      <c r="F1378" s="165">
        <f>3.3*2</f>
        <v>6.6</v>
      </c>
      <c r="G1378" s="167">
        <v>1.2</v>
      </c>
      <c r="H1378" s="191">
        <f>F1378*G1378</f>
        <v>7.919999999999999</v>
      </c>
    </row>
    <row r="1379" spans="2:14" s="42" customFormat="1" ht="15" x14ac:dyDescent="0.25">
      <c r="B1379" s="654"/>
      <c r="C1379" s="675"/>
      <c r="D1379" s="40" t="s">
        <v>904</v>
      </c>
      <c r="E1379" s="140" t="s">
        <v>17</v>
      </c>
      <c r="F1379" s="165">
        <f>3.1+8.05+3.26+2.45</f>
        <v>16.86</v>
      </c>
      <c r="G1379" s="167">
        <v>1.2</v>
      </c>
      <c r="H1379" s="191">
        <f>F1379*G1379</f>
        <v>20.231999999999999</v>
      </c>
    </row>
    <row r="1380" spans="2:14" s="42" customFormat="1" ht="15" x14ac:dyDescent="0.25">
      <c r="B1380" s="654"/>
      <c r="C1380" s="675"/>
      <c r="D1380" s="40" t="s">
        <v>897</v>
      </c>
      <c r="E1380" s="140" t="s">
        <v>17</v>
      </c>
      <c r="F1380" s="165">
        <v>-1.2</v>
      </c>
      <c r="G1380" s="167">
        <v>0.8</v>
      </c>
      <c r="H1380" s="191">
        <f>G1380*F1380</f>
        <v>-0.96</v>
      </c>
    </row>
    <row r="1381" spans="2:14" s="42" customFormat="1" ht="15" x14ac:dyDescent="0.25">
      <c r="B1381" s="654"/>
      <c r="C1381" s="675"/>
      <c r="D1381" s="40" t="s">
        <v>905</v>
      </c>
      <c r="E1381" s="140" t="s">
        <v>17</v>
      </c>
      <c r="F1381" s="167">
        <f>8.15+5.2+8.15</f>
        <v>21.5</v>
      </c>
      <c r="G1381" s="167">
        <v>1.2</v>
      </c>
      <c r="H1381" s="191">
        <f>G1381*F1381</f>
        <v>25.8</v>
      </c>
    </row>
    <row r="1382" spans="2:14" s="42" customFormat="1" ht="15" x14ac:dyDescent="0.25">
      <c r="B1382" s="654"/>
      <c r="C1382" s="675"/>
      <c r="D1382" s="40" t="s">
        <v>899</v>
      </c>
      <c r="E1382" s="140" t="s">
        <v>17</v>
      </c>
      <c r="F1382" s="165">
        <v>-0.8</v>
      </c>
      <c r="G1382" s="167">
        <v>1.2</v>
      </c>
      <c r="H1382" s="191">
        <f>G1382*F1382*2</f>
        <v>-1.92</v>
      </c>
    </row>
    <row r="1383" spans="2:14" s="42" customFormat="1" ht="15" x14ac:dyDescent="0.25">
      <c r="B1383" s="654"/>
      <c r="C1383" s="675"/>
      <c r="D1383" s="40" t="s">
        <v>906</v>
      </c>
      <c r="E1383" s="140" t="s">
        <v>17</v>
      </c>
      <c r="F1383" s="167">
        <f>7.25*2</f>
        <v>14.5</v>
      </c>
      <c r="G1383" s="167">
        <v>1.2</v>
      </c>
      <c r="H1383" s="191">
        <f t="shared" ref="H1383:H1398" si="46">G1383*F1383</f>
        <v>17.399999999999999</v>
      </c>
    </row>
    <row r="1384" spans="2:14" s="42" customFormat="1" ht="15" x14ac:dyDescent="0.25">
      <c r="B1384" s="654"/>
      <c r="C1384" s="675"/>
      <c r="D1384" s="40" t="s">
        <v>907</v>
      </c>
      <c r="E1384" s="140" t="s">
        <v>17</v>
      </c>
      <c r="F1384" s="165">
        <v>-1.2</v>
      </c>
      <c r="G1384" s="167">
        <v>0.8</v>
      </c>
      <c r="H1384" s="191">
        <f t="shared" si="46"/>
        <v>-0.96</v>
      </c>
    </row>
    <row r="1385" spans="2:14" s="42" customFormat="1" ht="15" x14ac:dyDescent="0.25">
      <c r="B1385" s="656"/>
      <c r="C1385" s="674"/>
      <c r="D1385" s="40" t="s">
        <v>908</v>
      </c>
      <c r="E1385" s="140" t="s">
        <v>17</v>
      </c>
      <c r="F1385" s="167">
        <f>7.25+7.25</f>
        <v>14.5</v>
      </c>
      <c r="G1385" s="167">
        <v>1.2</v>
      </c>
      <c r="H1385" s="191">
        <f t="shared" si="46"/>
        <v>17.399999999999999</v>
      </c>
    </row>
    <row r="1386" spans="2:14" s="42" customFormat="1" ht="15" x14ac:dyDescent="0.25">
      <c r="B1386" s="613"/>
      <c r="C1386" s="614"/>
      <c r="D1386" s="40" t="s">
        <v>907</v>
      </c>
      <c r="E1386" s="140" t="s">
        <v>17</v>
      </c>
      <c r="F1386" s="167">
        <v>-1.2</v>
      </c>
      <c r="G1386" s="167">
        <v>2</v>
      </c>
      <c r="H1386" s="191">
        <f t="shared" si="46"/>
        <v>-2.4</v>
      </c>
    </row>
    <row r="1387" spans="2:14" s="42" customFormat="1" ht="15" x14ac:dyDescent="0.25">
      <c r="B1387" s="599"/>
      <c r="C1387" s="600"/>
      <c r="D1387" s="40" t="s">
        <v>909</v>
      </c>
      <c r="E1387" s="140" t="s">
        <v>17</v>
      </c>
      <c r="F1387" s="165">
        <v>-1.2</v>
      </c>
      <c r="G1387" s="167">
        <v>0.8</v>
      </c>
      <c r="H1387" s="191">
        <f t="shared" si="46"/>
        <v>-0.96</v>
      </c>
    </row>
    <row r="1388" spans="2:14" s="42" customFormat="1" ht="15" x14ac:dyDescent="0.25">
      <c r="B1388" s="599"/>
      <c r="C1388" s="600"/>
      <c r="D1388" s="40" t="s">
        <v>910</v>
      </c>
      <c r="E1388" s="140" t="s">
        <v>17</v>
      </c>
      <c r="F1388" s="165">
        <f>7.25*2</f>
        <v>14.5</v>
      </c>
      <c r="G1388" s="165">
        <v>1.2</v>
      </c>
      <c r="H1388" s="191">
        <f t="shared" si="46"/>
        <v>17.399999999999999</v>
      </c>
    </row>
    <row r="1389" spans="2:14" s="42" customFormat="1" ht="15" x14ac:dyDescent="0.25">
      <c r="B1389" s="599"/>
      <c r="C1389" s="600"/>
      <c r="D1389" s="40" t="s">
        <v>907</v>
      </c>
      <c r="E1389" s="140" t="s">
        <v>17</v>
      </c>
      <c r="F1389" s="167">
        <v>-1.2</v>
      </c>
      <c r="G1389" s="167">
        <v>2</v>
      </c>
      <c r="H1389" s="191">
        <f t="shared" si="46"/>
        <v>-2.4</v>
      </c>
    </row>
    <row r="1390" spans="2:14" s="42" customFormat="1" ht="15" x14ac:dyDescent="0.25">
      <c r="B1390" s="599"/>
      <c r="C1390" s="600"/>
      <c r="D1390" s="40" t="s">
        <v>909</v>
      </c>
      <c r="E1390" s="140" t="s">
        <v>17</v>
      </c>
      <c r="F1390" s="165">
        <v>-1.2</v>
      </c>
      <c r="G1390" s="167">
        <v>0.8</v>
      </c>
      <c r="H1390" s="191">
        <f t="shared" si="46"/>
        <v>-0.96</v>
      </c>
    </row>
    <row r="1391" spans="2:14" s="42" customFormat="1" ht="15" x14ac:dyDescent="0.25">
      <c r="B1391" s="599"/>
      <c r="C1391" s="600"/>
      <c r="D1391" s="40" t="s">
        <v>911</v>
      </c>
      <c r="E1391" s="140" t="s">
        <v>17</v>
      </c>
      <c r="F1391" s="165">
        <f>6.65+1.6</f>
        <v>8.25</v>
      </c>
      <c r="G1391" s="165">
        <v>1.2</v>
      </c>
      <c r="H1391" s="191">
        <f t="shared" si="46"/>
        <v>9.9</v>
      </c>
      <c r="M1391" s="401"/>
      <c r="N1391" s="401"/>
    </row>
    <row r="1392" spans="2:14" s="42" customFormat="1" ht="15" x14ac:dyDescent="0.25">
      <c r="B1392" s="599"/>
      <c r="C1392" s="600"/>
      <c r="D1392" s="40" t="s">
        <v>907</v>
      </c>
      <c r="E1392" s="140" t="s">
        <v>17</v>
      </c>
      <c r="F1392" s="167">
        <v>-1.2</v>
      </c>
      <c r="G1392" s="167">
        <v>2</v>
      </c>
      <c r="H1392" s="191">
        <f t="shared" si="46"/>
        <v>-2.4</v>
      </c>
    </row>
    <row r="1393" spans="2:15" s="42" customFormat="1" ht="15" x14ac:dyDescent="0.25">
      <c r="B1393" s="599"/>
      <c r="C1393" s="600"/>
      <c r="D1393" s="40" t="s">
        <v>909</v>
      </c>
      <c r="E1393" s="140" t="s">
        <v>17</v>
      </c>
      <c r="F1393" s="165">
        <v>-1.2</v>
      </c>
      <c r="G1393" s="167">
        <v>0.8</v>
      </c>
      <c r="H1393" s="191">
        <f t="shared" si="46"/>
        <v>-0.96</v>
      </c>
    </row>
    <row r="1394" spans="2:15" s="42" customFormat="1" ht="15" x14ac:dyDescent="0.25">
      <c r="B1394" s="599"/>
      <c r="C1394" s="600"/>
      <c r="D1394" s="40" t="s">
        <v>912</v>
      </c>
      <c r="E1394" s="140" t="s">
        <v>17</v>
      </c>
      <c r="F1394" s="165">
        <f>5.67*2</f>
        <v>11.34</v>
      </c>
      <c r="G1394" s="165">
        <v>1.2</v>
      </c>
      <c r="H1394" s="191">
        <f t="shared" si="46"/>
        <v>13.607999999999999</v>
      </c>
    </row>
    <row r="1395" spans="2:15" s="42" customFormat="1" ht="15" x14ac:dyDescent="0.25">
      <c r="B1395" s="599"/>
      <c r="C1395" s="600"/>
      <c r="D1395" s="40" t="s">
        <v>907</v>
      </c>
      <c r="E1395" s="140" t="s">
        <v>17</v>
      </c>
      <c r="F1395" s="165">
        <v>-1.2</v>
      </c>
      <c r="G1395" s="167">
        <v>0.8</v>
      </c>
      <c r="H1395" s="191">
        <f t="shared" si="46"/>
        <v>-0.96</v>
      </c>
    </row>
    <row r="1396" spans="2:15" s="42" customFormat="1" ht="15" x14ac:dyDescent="0.25">
      <c r="B1396" s="599"/>
      <c r="C1396" s="600"/>
      <c r="D1396" s="40" t="s">
        <v>913</v>
      </c>
      <c r="E1396" s="140" t="s">
        <v>17</v>
      </c>
      <c r="F1396" s="165">
        <f>5.67*2</f>
        <v>11.34</v>
      </c>
      <c r="G1396" s="165">
        <v>1.2</v>
      </c>
      <c r="H1396" s="191">
        <f t="shared" si="46"/>
        <v>13.607999999999999</v>
      </c>
    </row>
    <row r="1397" spans="2:15" s="42" customFormat="1" ht="15" x14ac:dyDescent="0.25">
      <c r="B1397" s="599"/>
      <c r="C1397" s="600"/>
      <c r="D1397" s="40" t="s">
        <v>907</v>
      </c>
      <c r="E1397" s="140" t="s">
        <v>17</v>
      </c>
      <c r="F1397" s="165">
        <v>-1.2</v>
      </c>
      <c r="G1397" s="167">
        <v>0.8</v>
      </c>
      <c r="H1397" s="191">
        <f t="shared" si="46"/>
        <v>-0.96</v>
      </c>
    </row>
    <row r="1398" spans="2:15" s="42" customFormat="1" ht="15" x14ac:dyDescent="0.25">
      <c r="B1398" s="599"/>
      <c r="C1398" s="600"/>
      <c r="D1398" s="40" t="s">
        <v>914</v>
      </c>
      <c r="E1398" s="140" t="s">
        <v>17</v>
      </c>
      <c r="F1398" s="165">
        <v>14</v>
      </c>
      <c r="G1398" s="165">
        <v>2.4</v>
      </c>
      <c r="H1398" s="191">
        <f t="shared" si="46"/>
        <v>33.6</v>
      </c>
      <c r="K1398" s="402"/>
      <c r="L1398" s="16"/>
      <c r="M1398" s="231"/>
      <c r="N1398" s="231"/>
      <c r="O1398" s="403"/>
    </row>
    <row r="1399" spans="2:15" s="42" customFormat="1" ht="15" x14ac:dyDescent="0.25">
      <c r="B1399" s="599"/>
      <c r="C1399" s="600"/>
      <c r="D1399" s="40" t="s">
        <v>915</v>
      </c>
      <c r="E1399" s="140" t="s">
        <v>17</v>
      </c>
      <c r="F1399" s="165">
        <v>7</v>
      </c>
      <c r="G1399" s="165">
        <v>2.4</v>
      </c>
      <c r="H1399" s="191">
        <f t="shared" ref="H1399:H1404" si="47">G1399*F1399</f>
        <v>16.8</v>
      </c>
    </row>
    <row r="1400" spans="2:15" s="42" customFormat="1" ht="15" x14ac:dyDescent="0.25">
      <c r="B1400" s="599"/>
      <c r="C1400" s="600"/>
      <c r="D1400" s="40" t="s">
        <v>916</v>
      </c>
      <c r="E1400" s="140" t="s">
        <v>17</v>
      </c>
      <c r="F1400" s="165">
        <f>2.8</f>
        <v>2.8</v>
      </c>
      <c r="G1400" s="165">
        <v>1.2</v>
      </c>
      <c r="H1400" s="191">
        <f t="shared" si="47"/>
        <v>3.36</v>
      </c>
    </row>
    <row r="1401" spans="2:15" s="42" customFormat="1" ht="15" x14ac:dyDescent="0.25">
      <c r="B1401" s="599"/>
      <c r="C1401" s="600"/>
      <c r="D1401" s="40" t="s">
        <v>917</v>
      </c>
      <c r="E1401" s="140" t="s">
        <v>17</v>
      </c>
      <c r="F1401" s="165">
        <f>2.8+1.05</f>
        <v>3.8499999999999996</v>
      </c>
      <c r="G1401" s="165">
        <v>1.2</v>
      </c>
      <c r="H1401" s="191">
        <f t="shared" si="47"/>
        <v>4.6199999999999992</v>
      </c>
    </row>
    <row r="1402" spans="2:15" s="42" customFormat="1" ht="15" x14ac:dyDescent="0.25">
      <c r="B1402" s="599"/>
      <c r="C1402" s="600"/>
      <c r="D1402" s="40" t="s">
        <v>918</v>
      </c>
      <c r="E1402" s="140" t="s">
        <v>17</v>
      </c>
      <c r="F1402" s="165">
        <v>0.55000000000000004</v>
      </c>
      <c r="G1402" s="165">
        <v>1.2</v>
      </c>
      <c r="H1402" s="191">
        <f>G1402*F1402</f>
        <v>0.66</v>
      </c>
    </row>
    <row r="1403" spans="2:15" s="42" customFormat="1" ht="15" x14ac:dyDescent="0.25">
      <c r="B1403" s="599"/>
      <c r="C1403" s="600"/>
      <c r="D1403" s="40" t="s">
        <v>919</v>
      </c>
      <c r="E1403" s="140" t="s">
        <v>17</v>
      </c>
      <c r="F1403" s="165">
        <f>1.75+9.25</f>
        <v>11</v>
      </c>
      <c r="G1403" s="165">
        <v>1.2</v>
      </c>
      <c r="H1403" s="191">
        <f t="shared" si="47"/>
        <v>13.2</v>
      </c>
    </row>
    <row r="1404" spans="2:15" s="42" customFormat="1" ht="15" x14ac:dyDescent="0.25">
      <c r="B1404" s="599"/>
      <c r="C1404" s="600"/>
      <c r="D1404" s="40" t="s">
        <v>920</v>
      </c>
      <c r="E1404" s="140" t="s">
        <v>17</v>
      </c>
      <c r="F1404" s="165">
        <f>-1*1.2</f>
        <v>-1.2</v>
      </c>
      <c r="G1404" s="167">
        <v>1</v>
      </c>
      <c r="H1404" s="191">
        <f t="shared" si="47"/>
        <v>-1.2</v>
      </c>
    </row>
    <row r="1405" spans="2:15" s="42" customFormat="1" ht="15" x14ac:dyDescent="0.25">
      <c r="B1405" s="599"/>
      <c r="C1405" s="600"/>
      <c r="D1405" s="40" t="s">
        <v>921</v>
      </c>
      <c r="E1405" s="140" t="s">
        <v>17</v>
      </c>
      <c r="F1405" s="165">
        <f>2.2</f>
        <v>2.2000000000000002</v>
      </c>
      <c r="G1405" s="165">
        <v>1.2</v>
      </c>
      <c r="H1405" s="191">
        <f>G1405*F1405</f>
        <v>2.64</v>
      </c>
    </row>
    <row r="1406" spans="2:15" s="42" customFormat="1" ht="15" x14ac:dyDescent="0.25">
      <c r="B1406" s="599"/>
      <c r="C1406" s="600"/>
      <c r="D1406" s="40" t="s">
        <v>922</v>
      </c>
      <c r="E1406" s="140" t="s">
        <v>17</v>
      </c>
      <c r="F1406" s="43">
        <f>2.2+1.4</f>
        <v>3.6</v>
      </c>
      <c r="G1406" s="167">
        <v>1.2</v>
      </c>
      <c r="H1406" s="191">
        <f>G1406*F1406</f>
        <v>4.32</v>
      </c>
    </row>
    <row r="1407" spans="2:15" s="42" customFormat="1" ht="15" x14ac:dyDescent="0.25">
      <c r="B1407" s="599"/>
      <c r="C1407" s="600"/>
      <c r="D1407" s="40" t="s">
        <v>920</v>
      </c>
      <c r="E1407" s="140" t="s">
        <v>17</v>
      </c>
      <c r="F1407" s="43">
        <v>-0.7</v>
      </c>
      <c r="G1407" s="167">
        <v>1.2</v>
      </c>
      <c r="H1407" s="191">
        <f>G1407*F1407</f>
        <v>-0.84</v>
      </c>
    </row>
    <row r="1408" spans="2:15" s="42" customFormat="1" ht="15" x14ac:dyDescent="0.25">
      <c r="B1408" s="599"/>
      <c r="C1408" s="600"/>
      <c r="D1408" s="59" t="s">
        <v>923</v>
      </c>
      <c r="E1408" s="140" t="s">
        <v>17</v>
      </c>
      <c r="F1408" s="43">
        <f>2.2+1.4</f>
        <v>3.6</v>
      </c>
      <c r="G1408" s="43">
        <v>1.2</v>
      </c>
      <c r="H1408" s="193">
        <f>G1408*F1408</f>
        <v>4.32</v>
      </c>
    </row>
    <row r="1409" spans="2:8" s="42" customFormat="1" ht="15" x14ac:dyDescent="0.25">
      <c r="B1409" s="599"/>
      <c r="C1409" s="600"/>
      <c r="D1409" s="40" t="s">
        <v>920</v>
      </c>
      <c r="E1409" s="140" t="s">
        <v>17</v>
      </c>
      <c r="F1409" s="43">
        <v>-0.7</v>
      </c>
      <c r="G1409" s="167">
        <v>1.2</v>
      </c>
      <c r="H1409" s="191">
        <f>G1409*F1409</f>
        <v>-0.84</v>
      </c>
    </row>
    <row r="1410" spans="2:8" s="42" customFormat="1" ht="15" x14ac:dyDescent="0.2">
      <c r="B1410" s="599"/>
      <c r="C1410" s="600"/>
      <c r="D1410" s="100" t="s">
        <v>924</v>
      </c>
      <c r="E1410" s="140" t="s">
        <v>17</v>
      </c>
      <c r="F1410" s="43">
        <f>0.6+2.7</f>
        <v>3.3000000000000003</v>
      </c>
      <c r="G1410" s="43">
        <v>1</v>
      </c>
      <c r="H1410" s="193">
        <v>-1.2000000000000002</v>
      </c>
    </row>
    <row r="1411" spans="2:8" s="42" customFormat="1" ht="15" x14ac:dyDescent="0.25">
      <c r="B1411" s="599"/>
      <c r="C1411" s="600"/>
      <c r="D1411" s="40" t="s">
        <v>925</v>
      </c>
      <c r="E1411" s="140" t="s">
        <v>17</v>
      </c>
      <c r="F1411" s="43">
        <f>1.8*1.2</f>
        <v>2.16</v>
      </c>
      <c r="G1411" s="43">
        <v>1.2</v>
      </c>
      <c r="H1411" s="193">
        <f>G1411*F1411*2</f>
        <v>5.1840000000000002</v>
      </c>
    </row>
    <row r="1412" spans="2:8" s="42" customFormat="1" ht="15" x14ac:dyDescent="0.2">
      <c r="B1412" s="599"/>
      <c r="C1412" s="600"/>
      <c r="D1412" s="100" t="s">
        <v>926</v>
      </c>
      <c r="E1412" s="140" t="s">
        <v>17</v>
      </c>
      <c r="F1412" s="43">
        <f>1.15</f>
        <v>1.1499999999999999</v>
      </c>
      <c r="G1412" s="43">
        <v>1.2</v>
      </c>
      <c r="H1412" s="193">
        <f t="shared" ref="H1412:H1416" si="48">G1412*F1412</f>
        <v>1.38</v>
      </c>
    </row>
    <row r="1413" spans="2:8" s="42" customFormat="1" ht="15" x14ac:dyDescent="0.2">
      <c r="B1413" s="599"/>
      <c r="C1413" s="600"/>
      <c r="D1413" s="100" t="s">
        <v>927</v>
      </c>
      <c r="E1413" s="140" t="s">
        <v>17</v>
      </c>
      <c r="F1413" s="43">
        <f>0.95*2</f>
        <v>1.9</v>
      </c>
      <c r="G1413" s="43">
        <v>1.2</v>
      </c>
      <c r="H1413" s="193">
        <f t="shared" si="48"/>
        <v>2.2799999999999998</v>
      </c>
    </row>
    <row r="1414" spans="2:8" s="42" customFormat="1" ht="15" x14ac:dyDescent="0.2">
      <c r="B1414" s="599"/>
      <c r="C1414" s="600"/>
      <c r="D1414" s="100" t="s">
        <v>928</v>
      </c>
      <c r="E1414" s="140" t="s">
        <v>17</v>
      </c>
      <c r="F1414" s="43">
        <v>2.4500000000000002</v>
      </c>
      <c r="G1414" s="43">
        <v>1.2</v>
      </c>
      <c r="H1414" s="193">
        <f t="shared" si="48"/>
        <v>2.94</v>
      </c>
    </row>
    <row r="1415" spans="2:8" s="42" customFormat="1" ht="15" x14ac:dyDescent="0.2">
      <c r="B1415" s="599"/>
      <c r="C1415" s="600"/>
      <c r="D1415" s="100" t="s">
        <v>929</v>
      </c>
      <c r="E1415" s="140" t="s">
        <v>17</v>
      </c>
      <c r="F1415" s="43">
        <f>20*4*0.35</f>
        <v>28</v>
      </c>
      <c r="G1415" s="43">
        <v>1.2</v>
      </c>
      <c r="H1415" s="193">
        <f t="shared" si="48"/>
        <v>33.6</v>
      </c>
    </row>
    <row r="1416" spans="2:8" s="42" customFormat="1" ht="15" x14ac:dyDescent="0.2">
      <c r="B1416" s="599"/>
      <c r="C1416" s="600"/>
      <c r="D1416" s="100" t="s">
        <v>930</v>
      </c>
      <c r="E1416" s="140" t="s">
        <v>17</v>
      </c>
      <c r="F1416" s="43">
        <f>6</f>
        <v>6</v>
      </c>
      <c r="G1416" s="43">
        <v>1</v>
      </c>
      <c r="H1416" s="193">
        <f t="shared" si="48"/>
        <v>6</v>
      </c>
    </row>
    <row r="1417" spans="2:8" s="42" customFormat="1" ht="15.75" x14ac:dyDescent="0.25">
      <c r="B1417" s="598" t="s">
        <v>931</v>
      </c>
      <c r="C1417" s="442">
        <v>261001</v>
      </c>
      <c r="D1417" s="51" t="s">
        <v>932</v>
      </c>
      <c r="E1417" s="49" t="s">
        <v>17</v>
      </c>
      <c r="F1417" s="356" t="s">
        <v>27</v>
      </c>
      <c r="G1417" s="357" t="s">
        <v>40</v>
      </c>
      <c r="H1417" s="192">
        <f>SUM(H1418:H1498)+H1499+H1537</f>
        <v>2870.1859999999997</v>
      </c>
    </row>
    <row r="1418" spans="2:8" s="42" customFormat="1" ht="15" x14ac:dyDescent="0.25">
      <c r="B1418" s="652"/>
      <c r="C1418" s="673"/>
      <c r="D1418" s="40" t="s">
        <v>933</v>
      </c>
      <c r="E1418" s="208" t="s">
        <v>17</v>
      </c>
      <c r="F1418" s="358">
        <f>((7.05*1.8)+(7.05*3)+(5.15*3)+(5.3*1.8))+(2.75+0.15+1.2*3)+(3.8*3)</f>
        <v>76.72999999999999</v>
      </c>
      <c r="G1418" s="358">
        <v>1</v>
      </c>
      <c r="H1418" s="355">
        <f t="shared" ref="H1418:H1424" si="49">G1418*F1418</f>
        <v>76.72999999999999</v>
      </c>
    </row>
    <row r="1419" spans="2:8" s="42" customFormat="1" ht="15" x14ac:dyDescent="0.25">
      <c r="B1419" s="654"/>
      <c r="C1419" s="675"/>
      <c r="D1419" s="40" t="s">
        <v>765</v>
      </c>
      <c r="E1419" s="208" t="s">
        <v>17</v>
      </c>
      <c r="F1419" s="358">
        <v>-0.8</v>
      </c>
      <c r="G1419" s="358">
        <v>2.1</v>
      </c>
      <c r="H1419" s="355">
        <f t="shared" si="49"/>
        <v>-1.6800000000000002</v>
      </c>
    </row>
    <row r="1420" spans="2:8" s="42" customFormat="1" ht="15" x14ac:dyDescent="0.25">
      <c r="B1420" s="654"/>
      <c r="C1420" s="675"/>
      <c r="D1420" s="40" t="s">
        <v>934</v>
      </c>
      <c r="E1420" s="208" t="s">
        <v>17</v>
      </c>
      <c r="F1420" s="358">
        <f xml:space="preserve"> -2.5*2</f>
        <v>-5</v>
      </c>
      <c r="G1420" s="358">
        <v>2.2000000000000002</v>
      </c>
      <c r="H1420" s="355">
        <f t="shared" si="49"/>
        <v>-11</v>
      </c>
    </row>
    <row r="1421" spans="2:8" s="42" customFormat="1" ht="15" x14ac:dyDescent="0.25">
      <c r="B1421" s="654"/>
      <c r="C1421" s="675"/>
      <c r="D1421" s="40" t="s">
        <v>935</v>
      </c>
      <c r="E1421" s="208" t="s">
        <v>17</v>
      </c>
      <c r="F1421" s="358">
        <f>(2.5*1.8)+(2.8*3)+(2*2.8*3)+(2.2*3)</f>
        <v>36.299999999999997</v>
      </c>
      <c r="G1421" s="358">
        <v>1</v>
      </c>
      <c r="H1421" s="355">
        <f t="shared" si="49"/>
        <v>36.299999999999997</v>
      </c>
    </row>
    <row r="1422" spans="2:8" s="42" customFormat="1" ht="15" x14ac:dyDescent="0.25">
      <c r="B1422" s="654"/>
      <c r="C1422" s="675"/>
      <c r="D1422" s="40" t="s">
        <v>765</v>
      </c>
      <c r="E1422" s="208" t="s">
        <v>17</v>
      </c>
      <c r="F1422" s="358">
        <v>-0.8</v>
      </c>
      <c r="G1422" s="358">
        <v>2.1</v>
      </c>
      <c r="H1422" s="355">
        <f t="shared" si="49"/>
        <v>-1.6800000000000002</v>
      </c>
    </row>
    <row r="1423" spans="2:8" s="42" customFormat="1" ht="15" x14ac:dyDescent="0.25">
      <c r="B1423" s="654"/>
      <c r="C1423" s="675"/>
      <c r="D1423" s="40" t="s">
        <v>771</v>
      </c>
      <c r="E1423" s="208" t="s">
        <v>17</v>
      </c>
      <c r="F1423" s="358">
        <v>-1.8</v>
      </c>
      <c r="G1423" s="358">
        <v>1.2</v>
      </c>
      <c r="H1423" s="355">
        <f t="shared" si="49"/>
        <v>-2.16</v>
      </c>
    </row>
    <row r="1424" spans="2:8" s="42" customFormat="1" ht="15" x14ac:dyDescent="0.25">
      <c r="B1424" s="654"/>
      <c r="C1424" s="675"/>
      <c r="D1424" s="40" t="s">
        <v>936</v>
      </c>
      <c r="E1424" s="208" t="s">
        <v>17</v>
      </c>
      <c r="F1424" s="358">
        <f>(3.75*1.8+3.75*2*3)+(2.75*2*3)+(3.6*3)</f>
        <v>56.55</v>
      </c>
      <c r="G1424" s="358">
        <v>1</v>
      </c>
      <c r="H1424" s="355">
        <f t="shared" si="49"/>
        <v>56.55</v>
      </c>
    </row>
    <row r="1425" spans="2:8" s="42" customFormat="1" ht="15" x14ac:dyDescent="0.25">
      <c r="B1425" s="654"/>
      <c r="C1425" s="675"/>
      <c r="D1425" s="40" t="s">
        <v>765</v>
      </c>
      <c r="E1425" s="208" t="s">
        <v>17</v>
      </c>
      <c r="F1425" s="358">
        <v>-0.8</v>
      </c>
      <c r="G1425" s="358">
        <v>2.1</v>
      </c>
      <c r="H1425" s="355">
        <f t="shared" ref="H1425:H1481" si="50">F1425</f>
        <v>-0.8</v>
      </c>
    </row>
    <row r="1426" spans="2:8" s="42" customFormat="1" ht="15" x14ac:dyDescent="0.25">
      <c r="B1426" s="654"/>
      <c r="C1426" s="675"/>
      <c r="D1426" s="40" t="s">
        <v>937</v>
      </c>
      <c r="E1426" s="208" t="s">
        <v>17</v>
      </c>
      <c r="F1426" s="358">
        <v>-2.5</v>
      </c>
      <c r="G1426" s="358">
        <v>1.2</v>
      </c>
      <c r="H1426" s="355">
        <f>G1426*F1426</f>
        <v>-3</v>
      </c>
    </row>
    <row r="1427" spans="2:8" s="42" customFormat="1" ht="15" x14ac:dyDescent="0.25">
      <c r="B1427" s="654"/>
      <c r="C1427" s="675"/>
      <c r="D1427" s="40" t="s">
        <v>938</v>
      </c>
      <c r="E1427" s="208" t="s">
        <v>17</v>
      </c>
      <c r="F1427" s="358">
        <f>(1.2*3)-1.68+(1.35*3)-1.68+(0.8*3)+(2.6*3)-1.68+(1.45*3)+(3.6*3)-1.68+(2.75*3)+(3.45*3)-2+(3.45*3)-2-1.68+(2.3*3)-1.68</f>
        <v>54.77</v>
      </c>
      <c r="G1427" s="358">
        <v>1</v>
      </c>
      <c r="H1427" s="355">
        <f>F1427*G1427</f>
        <v>54.77</v>
      </c>
    </row>
    <row r="1428" spans="2:8" s="42" customFormat="1" ht="15" x14ac:dyDescent="0.25">
      <c r="B1428" s="654"/>
      <c r="C1428" s="675"/>
      <c r="D1428" s="40" t="s">
        <v>939</v>
      </c>
      <c r="E1428" s="208" t="s">
        <v>17</v>
      </c>
      <c r="F1428" s="358">
        <f>(3.45*3)+(3.45*3)+(3.45*1.8)+(3.45*3)+(3.45*3)</f>
        <v>47.610000000000007</v>
      </c>
      <c r="G1428" s="358">
        <v>1</v>
      </c>
      <c r="H1428" s="355">
        <f>F1428*G1428</f>
        <v>47.610000000000007</v>
      </c>
    </row>
    <row r="1429" spans="2:8" s="42" customFormat="1" ht="15" x14ac:dyDescent="0.25">
      <c r="B1429" s="654"/>
      <c r="C1429" s="675"/>
      <c r="D1429" s="40" t="s">
        <v>768</v>
      </c>
      <c r="E1429" s="208" t="s">
        <v>17</v>
      </c>
      <c r="F1429" s="358">
        <v>-2</v>
      </c>
      <c r="G1429" s="358">
        <v>1.68</v>
      </c>
      <c r="H1429" s="355">
        <f t="shared" ref="H1429:H1434" si="51">G1429*F1429</f>
        <v>-3.36</v>
      </c>
    </row>
    <row r="1430" spans="2:8" s="42" customFormat="1" ht="15" x14ac:dyDescent="0.25">
      <c r="B1430" s="654"/>
      <c r="C1430" s="675"/>
      <c r="D1430" s="40" t="s">
        <v>937</v>
      </c>
      <c r="E1430" s="208" t="s">
        <v>17</v>
      </c>
      <c r="F1430" s="358">
        <v>-2.5</v>
      </c>
      <c r="G1430" s="358">
        <v>1.2</v>
      </c>
      <c r="H1430" s="355">
        <f t="shared" si="51"/>
        <v>-3</v>
      </c>
    </row>
    <row r="1431" spans="2:8" s="42" customFormat="1" ht="15" x14ac:dyDescent="0.25">
      <c r="B1431" s="654"/>
      <c r="C1431" s="675"/>
      <c r="D1431" s="40" t="s">
        <v>940</v>
      </c>
      <c r="E1431" s="208" t="s">
        <v>17</v>
      </c>
      <c r="F1431" s="358">
        <f>(1.7*1.8)-(1.2*0.6)</f>
        <v>2.34</v>
      </c>
      <c r="G1431" s="358">
        <v>1</v>
      </c>
      <c r="H1431" s="355">
        <f t="shared" si="51"/>
        <v>2.34</v>
      </c>
    </row>
    <row r="1432" spans="2:8" s="42" customFormat="1" ht="15" x14ac:dyDescent="0.25">
      <c r="B1432" s="654"/>
      <c r="C1432" s="675"/>
      <c r="D1432" s="40" t="s">
        <v>941</v>
      </c>
      <c r="E1432" s="208" t="s">
        <v>17</v>
      </c>
      <c r="F1432" s="358">
        <f>(1.7*1.8)-(1.2*0.6)</f>
        <v>2.34</v>
      </c>
      <c r="G1432" s="358">
        <v>1</v>
      </c>
      <c r="H1432" s="355">
        <f t="shared" si="51"/>
        <v>2.34</v>
      </c>
    </row>
    <row r="1433" spans="2:8" s="42" customFormat="1" ht="15" x14ac:dyDescent="0.25">
      <c r="B1433" s="654"/>
      <c r="C1433" s="675"/>
      <c r="D1433" s="40" t="s">
        <v>942</v>
      </c>
      <c r="E1433" s="208" t="s">
        <v>17</v>
      </c>
      <c r="F1433" s="358">
        <f>(1.7*1.8)-(1.2*0.6)</f>
        <v>2.34</v>
      </c>
      <c r="G1433" s="358">
        <v>1</v>
      </c>
      <c r="H1433" s="355">
        <f t="shared" si="51"/>
        <v>2.34</v>
      </c>
    </row>
    <row r="1434" spans="2:8" s="42" customFormat="1" ht="15" x14ac:dyDescent="0.25">
      <c r="B1434" s="654"/>
      <c r="C1434" s="675"/>
      <c r="D1434" s="40" t="s">
        <v>943</v>
      </c>
      <c r="E1434" s="208" t="s">
        <v>17</v>
      </c>
      <c r="F1434" s="358">
        <f>(1.6*1.8)</f>
        <v>2.8800000000000003</v>
      </c>
      <c r="G1434" s="358">
        <v>1</v>
      </c>
      <c r="H1434" s="355">
        <f t="shared" si="51"/>
        <v>2.8800000000000003</v>
      </c>
    </row>
    <row r="1435" spans="2:8" s="42" customFormat="1" ht="15" x14ac:dyDescent="0.25">
      <c r="B1435" s="654"/>
      <c r="C1435" s="675"/>
      <c r="D1435" s="40" t="s">
        <v>944</v>
      </c>
      <c r="E1435" s="208" t="s">
        <v>17</v>
      </c>
      <c r="F1435" s="358">
        <f>(5.85*1.8)+(5.55*3)+(2.75*3)+(2.1*3)+(1.3*3)+(3.45-1.68-2)+(4.2*3)+(4.2*1.8)</f>
        <v>65.56</v>
      </c>
      <c r="G1435" s="358">
        <v>1</v>
      </c>
      <c r="H1435" s="355">
        <f>F1435*G1435</f>
        <v>65.56</v>
      </c>
    </row>
    <row r="1436" spans="2:8" s="42" customFormat="1" ht="15" x14ac:dyDescent="0.25">
      <c r="B1436" s="654"/>
      <c r="C1436" s="675"/>
      <c r="D1436" s="40" t="s">
        <v>768</v>
      </c>
      <c r="E1436" s="208" t="s">
        <v>17</v>
      </c>
      <c r="F1436" s="358">
        <v>-1.68</v>
      </c>
      <c r="G1436" s="358">
        <v>2</v>
      </c>
      <c r="H1436" s="355">
        <f t="shared" ref="H1436:H1441" si="52">G1436*F1436</f>
        <v>-3.36</v>
      </c>
    </row>
    <row r="1437" spans="2:8" s="42" customFormat="1" ht="15" x14ac:dyDescent="0.25">
      <c r="B1437" s="654"/>
      <c r="C1437" s="675"/>
      <c r="D1437" s="40" t="s">
        <v>945</v>
      </c>
      <c r="E1437" s="208" t="s">
        <v>17</v>
      </c>
      <c r="F1437" s="358">
        <v>-2.5</v>
      </c>
      <c r="G1437" s="358">
        <v>2.4</v>
      </c>
      <c r="H1437" s="355">
        <f t="shared" si="52"/>
        <v>-6</v>
      </c>
    </row>
    <row r="1438" spans="2:8" s="42" customFormat="1" ht="15" x14ac:dyDescent="0.25">
      <c r="B1438" s="654"/>
      <c r="C1438" s="675"/>
      <c r="D1438" s="40" t="s">
        <v>946</v>
      </c>
      <c r="E1438" s="208" t="s">
        <v>17</v>
      </c>
      <c r="F1438" s="358">
        <f>(9.78*2)+(10*1.8)+(5.3*2)+(5.45*1.8)+(9.78*2)+(5.45*2)</f>
        <v>88.43</v>
      </c>
      <c r="G1438" s="358">
        <v>1</v>
      </c>
      <c r="H1438" s="355">
        <f t="shared" si="52"/>
        <v>88.43</v>
      </c>
    </row>
    <row r="1439" spans="2:8" s="42" customFormat="1" ht="15" x14ac:dyDescent="0.25">
      <c r="B1439" s="654"/>
      <c r="C1439" s="675"/>
      <c r="D1439" s="40" t="s">
        <v>947</v>
      </c>
      <c r="E1439" s="208" t="s">
        <v>17</v>
      </c>
      <c r="F1439" s="358">
        <v>-1.68</v>
      </c>
      <c r="G1439" s="358">
        <v>1</v>
      </c>
      <c r="H1439" s="355">
        <f t="shared" si="52"/>
        <v>-1.68</v>
      </c>
    </row>
    <row r="1440" spans="2:8" s="42" customFormat="1" ht="15" x14ac:dyDescent="0.25">
      <c r="B1440" s="654"/>
      <c r="C1440" s="675"/>
      <c r="D1440" s="40" t="s">
        <v>948</v>
      </c>
      <c r="E1440" s="208" t="s">
        <v>17</v>
      </c>
      <c r="F1440" s="358">
        <v>-7.2</v>
      </c>
      <c r="G1440" s="358">
        <v>1.2</v>
      </c>
      <c r="H1440" s="355">
        <f t="shared" si="52"/>
        <v>-8.64</v>
      </c>
    </row>
    <row r="1441" spans="2:8" s="42" customFormat="1" ht="15" x14ac:dyDescent="0.25">
      <c r="B1441" s="654"/>
      <c r="C1441" s="675"/>
      <c r="D1441" s="40" t="s">
        <v>949</v>
      </c>
      <c r="E1441" s="208" t="s">
        <v>17</v>
      </c>
      <c r="F1441" s="358">
        <f>(5.05*2)+(5.35*1.8)+(6.95*2)+(7.1*1.8)+(5.05*2)</f>
        <v>56.51</v>
      </c>
      <c r="G1441" s="358">
        <v>1</v>
      </c>
      <c r="H1441" s="355">
        <f t="shared" si="52"/>
        <v>56.51</v>
      </c>
    </row>
    <row r="1442" spans="2:8" s="42" customFormat="1" ht="15" x14ac:dyDescent="0.25">
      <c r="B1442" s="654"/>
      <c r="C1442" s="675"/>
      <c r="D1442" s="40" t="s">
        <v>947</v>
      </c>
      <c r="E1442" s="208" t="s">
        <v>17</v>
      </c>
      <c r="F1442" s="358">
        <f>-1.68</f>
        <v>-1.68</v>
      </c>
      <c r="G1442" s="358">
        <v>1</v>
      </c>
      <c r="H1442" s="355">
        <f t="shared" si="50"/>
        <v>-1.68</v>
      </c>
    </row>
    <row r="1443" spans="2:8" s="42" customFormat="1" ht="15" x14ac:dyDescent="0.25">
      <c r="B1443" s="654"/>
      <c r="C1443" s="675"/>
      <c r="D1443" s="40" t="s">
        <v>948</v>
      </c>
      <c r="E1443" s="208" t="s">
        <v>17</v>
      </c>
      <c r="F1443" s="358">
        <v>-2.16</v>
      </c>
      <c r="G1443" s="358">
        <v>2.16</v>
      </c>
      <c r="H1443" s="355">
        <f>G1443*F1443</f>
        <v>-4.6656000000000004</v>
      </c>
    </row>
    <row r="1444" spans="2:8" s="42" customFormat="1" ht="15" x14ac:dyDescent="0.25">
      <c r="B1444" s="654"/>
      <c r="C1444" s="675"/>
      <c r="D1444" s="40" t="s">
        <v>950</v>
      </c>
      <c r="E1444" s="208" t="s">
        <v>17</v>
      </c>
      <c r="F1444" s="358">
        <f>(5.02*2)+(7.1*2)+(6.95*1.8)+(5.05*2)+(5.2*1.8)+(6.95*2)+(6.95*1.8)+(3.6*3)</f>
        <v>93.42</v>
      </c>
      <c r="G1444" s="358">
        <v>1</v>
      </c>
      <c r="H1444" s="355">
        <f>G1444*F1444</f>
        <v>93.42</v>
      </c>
    </row>
    <row r="1445" spans="2:8" s="42" customFormat="1" ht="15" x14ac:dyDescent="0.25">
      <c r="B1445" s="654"/>
      <c r="C1445" s="675"/>
      <c r="D1445" s="40" t="s">
        <v>951</v>
      </c>
      <c r="E1445" s="208" t="s">
        <v>17</v>
      </c>
      <c r="F1445" s="358">
        <v>-1.68</v>
      </c>
      <c r="G1445" s="358">
        <v>1</v>
      </c>
      <c r="H1445" s="355">
        <f>F1445*2</f>
        <v>-3.36</v>
      </c>
    </row>
    <row r="1446" spans="2:8" s="42" customFormat="1" ht="15" x14ac:dyDescent="0.25">
      <c r="B1446" s="654"/>
      <c r="C1446" s="675"/>
      <c r="D1446" s="40" t="s">
        <v>948</v>
      </c>
      <c r="E1446" s="208" t="s">
        <v>17</v>
      </c>
      <c r="F1446" s="358">
        <v>-2.16</v>
      </c>
      <c r="G1446" s="358">
        <v>2.16</v>
      </c>
      <c r="H1446" s="355">
        <f>G1446*F1446</f>
        <v>-4.6656000000000004</v>
      </c>
    </row>
    <row r="1447" spans="2:8" s="42" customFormat="1" ht="15" x14ac:dyDescent="0.25">
      <c r="B1447" s="654"/>
      <c r="C1447" s="675"/>
      <c r="D1447" s="40" t="s">
        <v>952</v>
      </c>
      <c r="E1447" s="208" t="s">
        <v>17</v>
      </c>
      <c r="F1447" s="358">
        <f>((10.55*2)+(10.7*3))*2+(5.05*2)+(5.35*1.8)</f>
        <v>126.12999999999998</v>
      </c>
      <c r="G1447" s="358">
        <v>1</v>
      </c>
      <c r="H1447" s="355">
        <f>G1447*F1447</f>
        <v>126.12999999999998</v>
      </c>
    </row>
    <row r="1448" spans="2:8" s="42" customFormat="1" ht="15" x14ac:dyDescent="0.25">
      <c r="B1448" s="654"/>
      <c r="C1448" s="675"/>
      <c r="D1448" s="40" t="s">
        <v>947</v>
      </c>
      <c r="E1448" s="208" t="s">
        <v>17</v>
      </c>
      <c r="F1448" s="358">
        <f>-1.68</f>
        <v>-1.68</v>
      </c>
      <c r="G1448" s="358">
        <v>1</v>
      </c>
      <c r="H1448" s="355">
        <f t="shared" si="50"/>
        <v>-1.68</v>
      </c>
    </row>
    <row r="1449" spans="2:8" s="42" customFormat="1" ht="15" x14ac:dyDescent="0.25">
      <c r="B1449" s="654"/>
      <c r="C1449" s="675"/>
      <c r="D1449" s="40" t="s">
        <v>953</v>
      </c>
      <c r="E1449" s="208" t="s">
        <v>17</v>
      </c>
      <c r="F1449" s="358">
        <v>-5</v>
      </c>
      <c r="G1449" s="358">
        <v>0.96</v>
      </c>
      <c r="H1449" s="355">
        <f>G1449*F1449</f>
        <v>-4.8</v>
      </c>
    </row>
    <row r="1450" spans="2:8" s="42" customFormat="1" ht="15" x14ac:dyDescent="0.25">
      <c r="B1450" s="654"/>
      <c r="C1450" s="675"/>
      <c r="D1450" s="40" t="s">
        <v>954</v>
      </c>
      <c r="E1450" s="208" t="s">
        <v>17</v>
      </c>
      <c r="F1450" s="358">
        <f>(6.95*2)+(7.1*3)+(5.05*2)+(5.2*1.8)+(6.95*2)+(7.1*1.8)</f>
        <v>81.34</v>
      </c>
      <c r="G1450" s="358">
        <v>1</v>
      </c>
      <c r="H1450" s="355">
        <f>G1450*F1450</f>
        <v>81.34</v>
      </c>
    </row>
    <row r="1451" spans="2:8" s="42" customFormat="1" ht="15" x14ac:dyDescent="0.25">
      <c r="B1451" s="654"/>
      <c r="C1451" s="675"/>
      <c r="D1451" s="40" t="s">
        <v>766</v>
      </c>
      <c r="E1451" s="208" t="s">
        <v>17</v>
      </c>
      <c r="F1451" s="358">
        <f>-1.68</f>
        <v>-1.68</v>
      </c>
      <c r="G1451" s="358">
        <v>1</v>
      </c>
      <c r="H1451" s="355">
        <f t="shared" si="50"/>
        <v>-1.68</v>
      </c>
    </row>
    <row r="1452" spans="2:8" s="42" customFormat="1" ht="15" x14ac:dyDescent="0.25">
      <c r="B1452" s="654"/>
      <c r="C1452" s="675"/>
      <c r="D1452" s="40" t="s">
        <v>948</v>
      </c>
      <c r="E1452" s="208" t="s">
        <v>17</v>
      </c>
      <c r="F1452" s="358">
        <v>-6</v>
      </c>
      <c r="G1452" s="358">
        <v>2.16</v>
      </c>
      <c r="H1452" s="355">
        <f>G1452*F1452</f>
        <v>-12.96</v>
      </c>
    </row>
    <row r="1453" spans="2:8" s="42" customFormat="1" ht="15" x14ac:dyDescent="0.25">
      <c r="B1453" s="654"/>
      <c r="C1453" s="675"/>
      <c r="D1453" s="40" t="s">
        <v>955</v>
      </c>
      <c r="E1453" s="208" t="s">
        <v>17</v>
      </c>
      <c r="F1453" s="358">
        <f>(3.1*1.8)+(2.96*2)+(7.75*2)+(2.96*2)+(8.05*1.8)+(8.05*2)+(2.45*1.8)</f>
        <v>67.92</v>
      </c>
      <c r="G1453" s="358">
        <v>1</v>
      </c>
      <c r="H1453" s="355">
        <f>G1453*F1453</f>
        <v>67.92</v>
      </c>
    </row>
    <row r="1454" spans="2:8" s="42" customFormat="1" ht="15" x14ac:dyDescent="0.25">
      <c r="B1454" s="654"/>
      <c r="C1454" s="675"/>
      <c r="D1454" s="40" t="s">
        <v>947</v>
      </c>
      <c r="E1454" s="208" t="s">
        <v>17</v>
      </c>
      <c r="F1454" s="358">
        <f>-1.68</f>
        <v>-1.68</v>
      </c>
      <c r="G1454" s="358">
        <v>1</v>
      </c>
      <c r="H1454" s="355">
        <f t="shared" si="50"/>
        <v>-1.68</v>
      </c>
    </row>
    <row r="1455" spans="2:8" s="42" customFormat="1" ht="15" x14ac:dyDescent="0.25">
      <c r="B1455" s="654"/>
      <c r="C1455" s="675"/>
      <c r="D1455" s="40" t="s">
        <v>956</v>
      </c>
      <c r="E1455" s="208" t="s">
        <v>17</v>
      </c>
      <c r="F1455" s="358">
        <v>-1.8</v>
      </c>
      <c r="G1455" s="358">
        <v>4.8</v>
      </c>
      <c r="H1455" s="355">
        <f>G1455*F1455</f>
        <v>-8.64</v>
      </c>
    </row>
    <row r="1456" spans="2:8" s="42" customFormat="1" ht="15" x14ac:dyDescent="0.25">
      <c r="B1456" s="654"/>
      <c r="C1456" s="675"/>
      <c r="D1456" s="40" t="s">
        <v>957</v>
      </c>
      <c r="E1456" s="208" t="s">
        <v>17</v>
      </c>
      <c r="F1456" s="358">
        <f>(7.85*2*2)+(8*3*2)+(4.9*2)+(5.05*1.8)+(4.9*2)</f>
        <v>108.09</v>
      </c>
      <c r="G1456" s="358">
        <v>1</v>
      </c>
      <c r="H1456" s="355">
        <f>F1456*G1456</f>
        <v>108.09</v>
      </c>
    </row>
    <row r="1457" spans="2:8" s="42" customFormat="1" ht="15" x14ac:dyDescent="0.25">
      <c r="B1457" s="654"/>
      <c r="C1457" s="675"/>
      <c r="D1457" s="40" t="s">
        <v>951</v>
      </c>
      <c r="E1457" s="208" t="s">
        <v>17</v>
      </c>
      <c r="F1457" s="358">
        <v>-1.68</v>
      </c>
      <c r="G1457" s="358">
        <v>4.2</v>
      </c>
      <c r="H1457" s="355">
        <f>G1457*F1457</f>
        <v>-7.056</v>
      </c>
    </row>
    <row r="1458" spans="2:8" s="42" customFormat="1" ht="15" x14ac:dyDescent="0.25">
      <c r="B1458" s="654"/>
      <c r="C1458" s="675"/>
      <c r="D1458" s="40" t="s">
        <v>948</v>
      </c>
      <c r="E1458" s="208" t="s">
        <v>17</v>
      </c>
      <c r="F1458" s="358">
        <v>-2</v>
      </c>
      <c r="G1458" s="358">
        <v>2.16</v>
      </c>
      <c r="H1458" s="355">
        <f>G1458*F1458</f>
        <v>-4.32</v>
      </c>
    </row>
    <row r="1459" spans="2:8" s="42" customFormat="1" ht="15" x14ac:dyDescent="0.25">
      <c r="B1459" s="654"/>
      <c r="C1459" s="675"/>
      <c r="D1459" s="40" t="s">
        <v>958</v>
      </c>
      <c r="E1459" s="208" t="s">
        <v>17</v>
      </c>
      <c r="F1459" s="358">
        <f>7.7*2+7.25*1.8+7.1*1.8+4.9*2*2</f>
        <v>60.830000000000005</v>
      </c>
      <c r="G1459" s="358">
        <v>1</v>
      </c>
      <c r="H1459" s="355">
        <f>F1459*G1459</f>
        <v>60.830000000000005</v>
      </c>
    </row>
    <row r="1460" spans="2:8" s="42" customFormat="1" ht="15" x14ac:dyDescent="0.25">
      <c r="B1460" s="654"/>
      <c r="C1460" s="675"/>
      <c r="D1460" s="40" t="s">
        <v>761</v>
      </c>
      <c r="E1460" s="208" t="s">
        <v>17</v>
      </c>
      <c r="F1460" s="358">
        <f>-1.68-2.1</f>
        <v>-3.7800000000000002</v>
      </c>
      <c r="G1460" s="358">
        <v>1</v>
      </c>
      <c r="H1460" s="355">
        <f t="shared" si="50"/>
        <v>-3.7800000000000002</v>
      </c>
    </row>
    <row r="1461" spans="2:8" s="42" customFormat="1" ht="15" x14ac:dyDescent="0.25">
      <c r="B1461" s="654"/>
      <c r="C1461" s="675"/>
      <c r="D1461" s="40" t="s">
        <v>959</v>
      </c>
      <c r="E1461" s="208" t="s">
        <v>17</v>
      </c>
      <c r="F1461" s="358">
        <v>-2</v>
      </c>
      <c r="G1461" s="358">
        <v>2.16</v>
      </c>
      <c r="H1461" s="355">
        <f>G1461*F1461</f>
        <v>-4.32</v>
      </c>
    </row>
    <row r="1462" spans="2:8" s="42" customFormat="1" ht="15" x14ac:dyDescent="0.25">
      <c r="B1462" s="654"/>
      <c r="C1462" s="675"/>
      <c r="D1462" s="40" t="s">
        <v>960</v>
      </c>
      <c r="E1462" s="208" t="s">
        <v>17</v>
      </c>
      <c r="F1462" s="358">
        <f>7.25*2+7.4*1.8+4.9*2+7.25*2+7.25*1.8</f>
        <v>65.17</v>
      </c>
      <c r="G1462" s="358">
        <v>1</v>
      </c>
      <c r="H1462" s="355">
        <f>F1462*G1462</f>
        <v>65.17</v>
      </c>
    </row>
    <row r="1463" spans="2:8" s="42" customFormat="1" ht="15" x14ac:dyDescent="0.25">
      <c r="B1463" s="654"/>
      <c r="C1463" s="675"/>
      <c r="D1463" s="40" t="s">
        <v>961</v>
      </c>
      <c r="E1463" s="208" t="s">
        <v>17</v>
      </c>
      <c r="F1463" s="358">
        <v>-4.2</v>
      </c>
      <c r="G1463" s="358">
        <v>1.68</v>
      </c>
      <c r="H1463" s="355">
        <f>G1463*F1463</f>
        <v>-7.056</v>
      </c>
    </row>
    <row r="1464" spans="2:8" s="42" customFormat="1" ht="15" x14ac:dyDescent="0.25">
      <c r="B1464" s="654"/>
      <c r="C1464" s="675"/>
      <c r="D1464" s="40" t="s">
        <v>962</v>
      </c>
      <c r="E1464" s="208" t="s">
        <v>17</v>
      </c>
      <c r="F1464" s="358">
        <v>-4.32</v>
      </c>
      <c r="G1464" s="358">
        <v>1.08</v>
      </c>
      <c r="H1464" s="355">
        <f>G1464*F1464</f>
        <v>-4.6656000000000004</v>
      </c>
    </row>
    <row r="1465" spans="2:8" s="42" customFormat="1" ht="15" x14ac:dyDescent="0.25">
      <c r="B1465" s="654"/>
      <c r="C1465" s="675"/>
      <c r="D1465" s="40" t="s">
        <v>963</v>
      </c>
      <c r="E1465" s="208" t="s">
        <v>17</v>
      </c>
      <c r="F1465" s="358">
        <f>7.4*2+7.25*1.8+4.9*2+7.25*2+7.25*1.8+4.9*2</f>
        <v>75</v>
      </c>
      <c r="G1465" s="358">
        <v>1</v>
      </c>
      <c r="H1465" s="355">
        <f>F1465*G1465</f>
        <v>75</v>
      </c>
    </row>
    <row r="1466" spans="2:8" s="42" customFormat="1" ht="15" x14ac:dyDescent="0.25">
      <c r="B1466" s="654"/>
      <c r="C1466" s="675"/>
      <c r="D1466" s="40" t="s">
        <v>961</v>
      </c>
      <c r="E1466" s="208" t="s">
        <v>17</v>
      </c>
      <c r="F1466" s="358">
        <v>-8.82</v>
      </c>
      <c r="G1466" s="358">
        <v>1.89</v>
      </c>
      <c r="H1466" s="355">
        <f>G1466*F1466</f>
        <v>-16.669799999999999</v>
      </c>
    </row>
    <row r="1467" spans="2:8" s="42" customFormat="1" ht="15" x14ac:dyDescent="0.25">
      <c r="B1467" s="654"/>
      <c r="C1467" s="675"/>
      <c r="D1467" s="40" t="s">
        <v>962</v>
      </c>
      <c r="E1467" s="208" t="s">
        <v>17</v>
      </c>
      <c r="F1467" s="358">
        <f>-1.8*1.2-2*1.8*0.6</f>
        <v>-4.32</v>
      </c>
      <c r="G1467" s="358">
        <v>1</v>
      </c>
      <c r="H1467" s="355">
        <f t="shared" si="50"/>
        <v>-4.32</v>
      </c>
    </row>
    <row r="1468" spans="2:8" s="42" customFormat="1" ht="15" x14ac:dyDescent="0.25">
      <c r="B1468" s="654"/>
      <c r="C1468" s="675"/>
      <c r="D1468" s="40" t="s">
        <v>964</v>
      </c>
      <c r="E1468" s="208" t="s">
        <v>17</v>
      </c>
      <c r="F1468" s="358">
        <f>6.5*2+6.65*1.8+6.5*2+1.6*1.8+4.9*2*2</f>
        <v>60.45</v>
      </c>
      <c r="G1468" s="358">
        <v>1</v>
      </c>
      <c r="H1468" s="355">
        <f>F1468*G1468</f>
        <v>60.45</v>
      </c>
    </row>
    <row r="1469" spans="2:8" s="42" customFormat="1" ht="15" x14ac:dyDescent="0.25">
      <c r="B1469" s="654"/>
      <c r="C1469" s="675"/>
      <c r="D1469" s="40" t="s">
        <v>965</v>
      </c>
      <c r="E1469" s="208" t="s">
        <v>17</v>
      </c>
      <c r="F1469" s="358">
        <v>-1.68</v>
      </c>
      <c r="G1469" s="358">
        <v>4.2</v>
      </c>
      <c r="H1469" s="355">
        <f>G1469*F1469</f>
        <v>-7.056</v>
      </c>
    </row>
    <row r="1470" spans="2:8" s="42" customFormat="1" ht="15" x14ac:dyDescent="0.25">
      <c r="B1470" s="654"/>
      <c r="C1470" s="675"/>
      <c r="D1470" s="40" t="s">
        <v>771</v>
      </c>
      <c r="E1470" s="208" t="s">
        <v>17</v>
      </c>
      <c r="F1470" s="358">
        <f>-1.8*1.2</f>
        <v>-2.16</v>
      </c>
      <c r="G1470" s="358">
        <v>1</v>
      </c>
      <c r="H1470" s="355">
        <f t="shared" si="50"/>
        <v>-2.16</v>
      </c>
    </row>
    <row r="1471" spans="2:8" s="42" customFormat="1" ht="15" x14ac:dyDescent="0.25">
      <c r="B1471" s="654"/>
      <c r="C1471" s="675"/>
      <c r="D1471" s="40" t="s">
        <v>966</v>
      </c>
      <c r="E1471" s="208" t="s">
        <v>17</v>
      </c>
      <c r="F1471" s="358">
        <f>4.75*4+5.5*2+5.5*1.8+5.5*2+5.65*1.8</f>
        <v>61.07</v>
      </c>
      <c r="G1471" s="358">
        <v>1</v>
      </c>
      <c r="H1471" s="355">
        <f>F1471*G1471</f>
        <v>61.07</v>
      </c>
    </row>
    <row r="1472" spans="2:8" s="42" customFormat="1" ht="15" x14ac:dyDescent="0.25">
      <c r="B1472" s="654"/>
      <c r="C1472" s="675"/>
      <c r="D1472" s="40" t="s">
        <v>761</v>
      </c>
      <c r="E1472" s="208" t="s">
        <v>17</v>
      </c>
      <c r="F1472" s="358">
        <v>-1.68</v>
      </c>
      <c r="G1472" s="358">
        <v>1</v>
      </c>
      <c r="H1472" s="355">
        <f t="shared" si="50"/>
        <v>-1.68</v>
      </c>
    </row>
    <row r="1473" spans="2:8" s="42" customFormat="1" ht="15" x14ac:dyDescent="0.25">
      <c r="B1473" s="654"/>
      <c r="C1473" s="675"/>
      <c r="D1473" s="40" t="s">
        <v>967</v>
      </c>
      <c r="E1473" s="208" t="s">
        <v>17</v>
      </c>
      <c r="F1473" s="358">
        <v>-3.6</v>
      </c>
      <c r="G1473" s="358">
        <v>2</v>
      </c>
      <c r="H1473" s="355">
        <f>G1473*F1473</f>
        <v>-7.2</v>
      </c>
    </row>
    <row r="1474" spans="2:8" s="42" customFormat="1" ht="15" x14ac:dyDescent="0.25">
      <c r="B1474" s="654"/>
      <c r="C1474" s="675"/>
      <c r="D1474" s="40" t="s">
        <v>968</v>
      </c>
      <c r="E1474" s="208" t="s">
        <v>17</v>
      </c>
      <c r="F1474" s="358">
        <f>4.75*4+5.5*2+5.5*1.8+5.5*2+5.65*1.8</f>
        <v>61.07</v>
      </c>
      <c r="G1474" s="358">
        <v>1</v>
      </c>
      <c r="H1474" s="355">
        <f>F1474*G1474</f>
        <v>61.07</v>
      </c>
    </row>
    <row r="1475" spans="2:8" s="42" customFormat="1" ht="15" x14ac:dyDescent="0.25">
      <c r="B1475" s="654"/>
      <c r="C1475" s="675"/>
      <c r="D1475" s="40" t="s">
        <v>761</v>
      </c>
      <c r="E1475" s="208" t="s">
        <v>17</v>
      </c>
      <c r="F1475" s="358">
        <v>-1.68</v>
      </c>
      <c r="G1475" s="358">
        <v>1</v>
      </c>
      <c r="H1475" s="355">
        <f t="shared" si="50"/>
        <v>-1.68</v>
      </c>
    </row>
    <row r="1476" spans="2:8" s="42" customFormat="1" ht="15" x14ac:dyDescent="0.25">
      <c r="B1476" s="654"/>
      <c r="C1476" s="675"/>
      <c r="D1476" s="40" t="s">
        <v>967</v>
      </c>
      <c r="E1476" s="208" t="s">
        <v>17</v>
      </c>
      <c r="F1476" s="358">
        <v>-2.16</v>
      </c>
      <c r="G1476" s="358">
        <v>2</v>
      </c>
      <c r="H1476" s="355">
        <f>G1476*F1476</f>
        <v>-4.32</v>
      </c>
    </row>
    <row r="1477" spans="2:8" s="42" customFormat="1" ht="15" x14ac:dyDescent="0.25">
      <c r="B1477" s="654"/>
      <c r="C1477" s="675"/>
      <c r="D1477" s="40" t="s">
        <v>969</v>
      </c>
      <c r="E1477" s="208" t="s">
        <v>17</v>
      </c>
      <c r="F1477" s="358">
        <f>(3.8*1.8)*2</f>
        <v>13.68</v>
      </c>
      <c r="G1477" s="358">
        <v>1</v>
      </c>
      <c r="H1477" s="355">
        <f>F1477*G1477</f>
        <v>13.68</v>
      </c>
    </row>
    <row r="1478" spans="2:8" s="42" customFormat="1" ht="15" x14ac:dyDescent="0.25">
      <c r="B1478" s="654"/>
      <c r="C1478" s="675"/>
      <c r="D1478" s="40" t="s">
        <v>970</v>
      </c>
      <c r="E1478" s="208" t="s">
        <v>17</v>
      </c>
      <c r="F1478" s="358">
        <v>-1.08</v>
      </c>
      <c r="G1478" s="358">
        <v>2</v>
      </c>
      <c r="H1478" s="355">
        <f>G1478*F1478</f>
        <v>-2.16</v>
      </c>
    </row>
    <row r="1479" spans="2:8" s="42" customFormat="1" ht="15" x14ac:dyDescent="0.25">
      <c r="B1479" s="654"/>
      <c r="C1479" s="675"/>
      <c r="D1479" s="40" t="s">
        <v>971</v>
      </c>
      <c r="E1479" s="208" t="s">
        <v>17</v>
      </c>
      <c r="F1479" s="358">
        <f>(3.8*1.8)*2</f>
        <v>13.68</v>
      </c>
      <c r="G1479" s="358">
        <v>1</v>
      </c>
      <c r="H1479" s="355">
        <f>F1479*G1479</f>
        <v>13.68</v>
      </c>
    </row>
    <row r="1480" spans="2:8" s="42" customFormat="1" ht="15" x14ac:dyDescent="0.25">
      <c r="B1480" s="654"/>
      <c r="C1480" s="675"/>
      <c r="D1480" s="40" t="s">
        <v>775</v>
      </c>
      <c r="E1480" s="208" t="s">
        <v>17</v>
      </c>
      <c r="F1480" s="358">
        <v>-2.16</v>
      </c>
      <c r="G1480" s="358">
        <v>2</v>
      </c>
      <c r="H1480" s="355">
        <f>G1480*F1480</f>
        <v>-4.32</v>
      </c>
    </row>
    <row r="1481" spans="2:8" s="42" customFormat="1" ht="15" x14ac:dyDescent="0.25">
      <c r="B1481" s="654"/>
      <c r="C1481" s="675"/>
      <c r="D1481" s="40" t="s">
        <v>972</v>
      </c>
      <c r="E1481" s="208" t="s">
        <v>17</v>
      </c>
      <c r="F1481" s="358">
        <f>(1.3*1.8)+2.65*1.8</f>
        <v>7.1099999999999994</v>
      </c>
      <c r="G1481" s="358">
        <v>1</v>
      </c>
      <c r="H1481" s="355">
        <f t="shared" si="50"/>
        <v>7.1099999999999994</v>
      </c>
    </row>
    <row r="1482" spans="2:8" s="42" customFormat="1" ht="15" x14ac:dyDescent="0.25">
      <c r="B1482" s="654"/>
      <c r="C1482" s="675"/>
      <c r="D1482" s="40" t="s">
        <v>761</v>
      </c>
      <c r="E1482" s="208" t="s">
        <v>17</v>
      </c>
      <c r="F1482" s="358">
        <v>-2.1</v>
      </c>
      <c r="G1482" s="358">
        <v>0.9</v>
      </c>
      <c r="H1482" s="355">
        <f>G1482*F1482</f>
        <v>-1.8900000000000001</v>
      </c>
    </row>
    <row r="1483" spans="2:8" s="42" customFormat="1" ht="15" x14ac:dyDescent="0.25">
      <c r="B1483" s="654"/>
      <c r="C1483" s="675"/>
      <c r="D1483" s="40" t="s">
        <v>970</v>
      </c>
      <c r="E1483" s="208" t="s">
        <v>17</v>
      </c>
      <c r="F1483" s="358">
        <v>-1.8</v>
      </c>
      <c r="G1483" s="358">
        <v>0.6</v>
      </c>
      <c r="H1483" s="355">
        <f>G1483*F1483</f>
        <v>-1.08</v>
      </c>
    </row>
    <row r="1484" spans="2:8" s="42" customFormat="1" ht="15" x14ac:dyDescent="0.25">
      <c r="B1484" s="654"/>
      <c r="C1484" s="675"/>
      <c r="D1484" s="40" t="s">
        <v>973</v>
      </c>
      <c r="E1484" s="208" t="s">
        <v>17</v>
      </c>
      <c r="F1484" s="358">
        <f>2.1*1.8+2.65*1.8</f>
        <v>8.5500000000000007</v>
      </c>
      <c r="G1484" s="358">
        <v>1</v>
      </c>
      <c r="H1484" s="355">
        <f t="shared" ref="H1484:H1492" si="53">F1484</f>
        <v>8.5500000000000007</v>
      </c>
    </row>
    <row r="1485" spans="2:8" s="42" customFormat="1" ht="15" x14ac:dyDescent="0.25">
      <c r="B1485" s="654"/>
      <c r="C1485" s="675"/>
      <c r="D1485" s="40" t="s">
        <v>761</v>
      </c>
      <c r="E1485" s="208" t="s">
        <v>17</v>
      </c>
      <c r="F1485" s="358">
        <v>-2.1</v>
      </c>
      <c r="G1485" s="358">
        <v>0.9</v>
      </c>
      <c r="H1485" s="355">
        <f>G1485*F1485</f>
        <v>-1.8900000000000001</v>
      </c>
    </row>
    <row r="1486" spans="2:8" s="42" customFormat="1" ht="15" x14ac:dyDescent="0.25">
      <c r="B1486" s="654"/>
      <c r="C1486" s="675"/>
      <c r="D1486" s="40" t="s">
        <v>970</v>
      </c>
      <c r="E1486" s="208" t="s">
        <v>17</v>
      </c>
      <c r="F1486" s="358">
        <v>-1.8</v>
      </c>
      <c r="G1486" s="358">
        <v>0.6</v>
      </c>
      <c r="H1486" s="355">
        <f>G1486*F1486</f>
        <v>-1.08</v>
      </c>
    </row>
    <row r="1487" spans="2:8" s="42" customFormat="1" ht="15" x14ac:dyDescent="0.25">
      <c r="B1487" s="654"/>
      <c r="C1487" s="675"/>
      <c r="D1487" s="40" t="s">
        <v>974</v>
      </c>
      <c r="E1487" s="208" t="s">
        <v>17</v>
      </c>
      <c r="F1487" s="358">
        <f>1.8*1.8</f>
        <v>3.24</v>
      </c>
      <c r="G1487" s="358">
        <v>1</v>
      </c>
      <c r="H1487" s="355">
        <f>F1487*G1487</f>
        <v>3.24</v>
      </c>
    </row>
    <row r="1488" spans="2:8" s="42" customFormat="1" ht="15" x14ac:dyDescent="0.25">
      <c r="B1488" s="654"/>
      <c r="C1488" s="675"/>
      <c r="D1488" s="40" t="s">
        <v>975</v>
      </c>
      <c r="E1488" s="208" t="s">
        <v>17</v>
      </c>
      <c r="F1488" s="358">
        <f>1.75*1.8+9.4*1.8</f>
        <v>20.07</v>
      </c>
      <c r="G1488" s="358">
        <v>1</v>
      </c>
      <c r="H1488" s="355">
        <f>F1488*G1488</f>
        <v>20.07</v>
      </c>
    </row>
    <row r="1489" spans="2:8" s="42" customFormat="1" ht="15" x14ac:dyDescent="0.25">
      <c r="B1489" s="654"/>
      <c r="C1489" s="675"/>
      <c r="D1489" s="40" t="s">
        <v>976</v>
      </c>
      <c r="E1489" s="208" t="s">
        <v>17</v>
      </c>
      <c r="F1489" s="358">
        <f>-2.1</f>
        <v>-2.1</v>
      </c>
      <c r="G1489" s="358">
        <v>1</v>
      </c>
      <c r="H1489" s="355">
        <f t="shared" si="53"/>
        <v>-2.1</v>
      </c>
    </row>
    <row r="1490" spans="2:8" s="42" customFormat="1" ht="15" x14ac:dyDescent="0.25">
      <c r="B1490" s="654"/>
      <c r="C1490" s="675"/>
      <c r="D1490" s="40" t="s">
        <v>977</v>
      </c>
      <c r="E1490" s="208" t="s">
        <v>17</v>
      </c>
      <c r="F1490" s="358">
        <v>-5.4</v>
      </c>
      <c r="G1490" s="358">
        <v>1.2</v>
      </c>
      <c r="H1490" s="355">
        <f>G1490*F1490</f>
        <v>-6.48</v>
      </c>
    </row>
    <row r="1491" spans="2:8" s="42" customFormat="1" ht="15" x14ac:dyDescent="0.25">
      <c r="B1491" s="654"/>
      <c r="C1491" s="675"/>
      <c r="D1491" s="40" t="s">
        <v>978</v>
      </c>
      <c r="E1491" s="208" t="s">
        <v>17</v>
      </c>
      <c r="F1491" s="358">
        <f>2.2*1.8</f>
        <v>3.9600000000000004</v>
      </c>
      <c r="G1491" s="358">
        <v>1</v>
      </c>
      <c r="H1491" s="355">
        <f>F1491*G1491</f>
        <v>3.9600000000000004</v>
      </c>
    </row>
    <row r="1492" spans="2:8" s="42" customFormat="1" ht="15" x14ac:dyDescent="0.25">
      <c r="B1492" s="654"/>
      <c r="C1492" s="675"/>
      <c r="D1492" s="40" t="s">
        <v>979</v>
      </c>
      <c r="E1492" s="208" t="s">
        <v>17</v>
      </c>
      <c r="F1492" s="358">
        <f>-1.5</f>
        <v>-1.5</v>
      </c>
      <c r="G1492" s="358">
        <v>1</v>
      </c>
      <c r="H1492" s="355">
        <f t="shared" si="53"/>
        <v>-1.5</v>
      </c>
    </row>
    <row r="1493" spans="2:8" s="42" customFormat="1" ht="15" x14ac:dyDescent="0.2">
      <c r="B1493" s="654"/>
      <c r="C1493" s="675"/>
      <c r="D1493" s="100" t="s">
        <v>980</v>
      </c>
      <c r="E1493" s="208" t="s">
        <v>17</v>
      </c>
      <c r="F1493" s="358">
        <f>1.4*1.8+2.2*1.8+0.6*1.8+2.7*1.8+1.15*1.8+7*1.8</f>
        <v>27.090000000000003</v>
      </c>
      <c r="G1493" s="358">
        <v>1</v>
      </c>
      <c r="H1493" s="355">
        <f>F1493*G1493</f>
        <v>27.090000000000003</v>
      </c>
    </row>
    <row r="1494" spans="2:8" s="42" customFormat="1" ht="15" x14ac:dyDescent="0.25">
      <c r="B1494" s="654"/>
      <c r="C1494" s="675"/>
      <c r="D1494" s="40" t="s">
        <v>981</v>
      </c>
      <c r="E1494" s="208" t="s">
        <v>17</v>
      </c>
      <c r="F1494" s="358">
        <v>-1.68</v>
      </c>
      <c r="G1494" s="358">
        <v>2.1</v>
      </c>
      <c r="H1494" s="355">
        <f>G1494*F1494</f>
        <v>-3.528</v>
      </c>
    </row>
    <row r="1495" spans="2:8" s="42" customFormat="1" ht="15" x14ac:dyDescent="0.25">
      <c r="B1495" s="654"/>
      <c r="C1495" s="675"/>
      <c r="D1495" s="40" t="s">
        <v>982</v>
      </c>
      <c r="E1495" s="208" t="s">
        <v>17</v>
      </c>
      <c r="F1495" s="358">
        <v>-0.72</v>
      </c>
      <c r="G1495" s="358">
        <v>1.44</v>
      </c>
      <c r="H1495" s="355">
        <f>G1495*F1495</f>
        <v>-1.0367999999999999</v>
      </c>
    </row>
    <row r="1496" spans="2:8" s="42" customFormat="1" ht="15" x14ac:dyDescent="0.2">
      <c r="B1496" s="654"/>
      <c r="C1496" s="675"/>
      <c r="D1496" s="100" t="s">
        <v>579</v>
      </c>
      <c r="E1496" s="208" t="s">
        <v>17</v>
      </c>
      <c r="F1496" s="358">
        <f>1.15*1.8-1.68+2.35*1.8</f>
        <v>4.62</v>
      </c>
      <c r="G1496" s="358">
        <v>1</v>
      </c>
      <c r="H1496" s="355">
        <f>F1496*G1496</f>
        <v>4.62</v>
      </c>
    </row>
    <row r="1497" spans="2:8" s="42" customFormat="1" ht="15" x14ac:dyDescent="0.2">
      <c r="B1497" s="654"/>
      <c r="C1497" s="675"/>
      <c r="D1497" s="100" t="s">
        <v>983</v>
      </c>
      <c r="E1497" s="208" t="s">
        <v>17</v>
      </c>
      <c r="F1497" s="358">
        <f>20*1.55*0.35*4</f>
        <v>43.4</v>
      </c>
      <c r="G1497" s="358">
        <v>1</v>
      </c>
      <c r="H1497" s="355">
        <f>F1497*G1497</f>
        <v>43.4</v>
      </c>
    </row>
    <row r="1498" spans="2:8" s="42" customFormat="1" ht="15" x14ac:dyDescent="0.25">
      <c r="B1498" s="654"/>
      <c r="C1498" s="675"/>
      <c r="D1498" s="144" t="s">
        <v>574</v>
      </c>
      <c r="E1498" s="208" t="s">
        <v>17</v>
      </c>
      <c r="F1498" s="358">
        <f>3.23+15.66+4.05+12.69+2.36+2.67+1.88*2*2.64+10+33.23+10.88+14.84+15.12+18.27+66+4.55+8+3.1+8.17+2.87+3.58+10.66+17.81+7.15+12.38+7+8.81+7.47+7.92+18.7+7.75+18.54</f>
        <v>373.38640000000004</v>
      </c>
      <c r="G1498" s="358">
        <v>1</v>
      </c>
      <c r="H1498" s="355">
        <f>F1498*G1498</f>
        <v>373.38640000000004</v>
      </c>
    </row>
    <row r="1499" spans="2:8" s="42" customFormat="1" ht="15.75" x14ac:dyDescent="0.25">
      <c r="B1499" s="654"/>
      <c r="C1499" s="675"/>
      <c r="D1499" s="145" t="s">
        <v>984</v>
      </c>
      <c r="E1499" s="214" t="s">
        <v>17</v>
      </c>
      <c r="F1499" s="370" t="s">
        <v>27</v>
      </c>
      <c r="G1499" s="370" t="s">
        <v>19</v>
      </c>
      <c r="H1499" s="196">
        <f>SUM(H1500:H1536)</f>
        <v>744.15899999999999</v>
      </c>
    </row>
    <row r="1500" spans="2:8" s="42" customFormat="1" ht="15" x14ac:dyDescent="0.25">
      <c r="B1500" s="654"/>
      <c r="C1500" s="675"/>
      <c r="D1500" s="40" t="s">
        <v>985</v>
      </c>
      <c r="E1500" s="208" t="s">
        <v>17</v>
      </c>
      <c r="F1500" s="343">
        <v>7.05</v>
      </c>
      <c r="G1500" s="343">
        <v>5.15</v>
      </c>
      <c r="H1500" s="330">
        <f>F1500*G1500</f>
        <v>36.307500000000005</v>
      </c>
    </row>
    <row r="1501" spans="2:8" s="42" customFormat="1" ht="15" x14ac:dyDescent="0.25">
      <c r="B1501" s="654"/>
      <c r="C1501" s="675"/>
      <c r="D1501" s="40" t="s">
        <v>986</v>
      </c>
      <c r="E1501" s="208" t="s">
        <v>17</v>
      </c>
      <c r="F1501" s="343">
        <v>2.8</v>
      </c>
      <c r="G1501" s="343">
        <v>2.2000000000000002</v>
      </c>
      <c r="H1501" s="330">
        <f>F1501*G1501</f>
        <v>6.16</v>
      </c>
    </row>
    <row r="1502" spans="2:8" s="42" customFormat="1" ht="15" x14ac:dyDescent="0.25">
      <c r="B1502" s="654"/>
      <c r="C1502" s="675"/>
      <c r="D1502" s="40" t="s">
        <v>987</v>
      </c>
      <c r="E1502" s="208" t="s">
        <v>17</v>
      </c>
      <c r="F1502" s="343">
        <v>3.6</v>
      </c>
      <c r="G1502" s="343">
        <v>2.75</v>
      </c>
      <c r="H1502" s="330">
        <f>F1502*G1502</f>
        <v>9.9</v>
      </c>
    </row>
    <row r="1503" spans="2:8" s="42" customFormat="1" ht="15" x14ac:dyDescent="0.25">
      <c r="B1503" s="654"/>
      <c r="C1503" s="675"/>
      <c r="D1503" s="40" t="s">
        <v>988</v>
      </c>
      <c r="E1503" s="208" t="s">
        <v>17</v>
      </c>
      <c r="F1503" s="343">
        <v>1.7</v>
      </c>
      <c r="G1503" s="343">
        <v>2</v>
      </c>
      <c r="H1503" s="330">
        <f>G1503*F1503</f>
        <v>3.4</v>
      </c>
    </row>
    <row r="1504" spans="2:8" s="42" customFormat="1" ht="15" x14ac:dyDescent="0.25">
      <c r="B1504" s="654"/>
      <c r="C1504" s="675"/>
      <c r="D1504" s="40" t="s">
        <v>989</v>
      </c>
      <c r="E1504" s="208" t="s">
        <v>17</v>
      </c>
      <c r="F1504" s="343">
        <v>1.7</v>
      </c>
      <c r="G1504" s="343">
        <v>2</v>
      </c>
      <c r="H1504" s="330">
        <f>G1504*F1504</f>
        <v>3.4</v>
      </c>
    </row>
    <row r="1505" spans="2:8" s="42" customFormat="1" ht="15" x14ac:dyDescent="0.25">
      <c r="B1505" s="654"/>
      <c r="C1505" s="675"/>
      <c r="D1505" s="40" t="s">
        <v>990</v>
      </c>
      <c r="E1505" s="208" t="s">
        <v>17</v>
      </c>
      <c r="F1505" s="343">
        <v>3.45</v>
      </c>
      <c r="G1505" s="343">
        <v>3.45</v>
      </c>
      <c r="H1505" s="330">
        <f t="shared" ref="H1505:H1536" si="54">F1505*G1505</f>
        <v>11.902500000000002</v>
      </c>
    </row>
    <row r="1506" spans="2:8" s="42" customFormat="1" ht="15" x14ac:dyDescent="0.25">
      <c r="B1506" s="654"/>
      <c r="C1506" s="675"/>
      <c r="D1506" s="40" t="s">
        <v>991</v>
      </c>
      <c r="E1506" s="208" t="s">
        <v>17</v>
      </c>
      <c r="F1506" s="343">
        <v>1.3</v>
      </c>
      <c r="G1506" s="343">
        <v>1.35</v>
      </c>
      <c r="H1506" s="330">
        <f t="shared" si="54"/>
        <v>1.7550000000000001</v>
      </c>
    </row>
    <row r="1507" spans="2:8" s="42" customFormat="1" ht="15" x14ac:dyDescent="0.25">
      <c r="B1507" s="654"/>
      <c r="C1507" s="675"/>
      <c r="D1507" s="40" t="s">
        <v>992</v>
      </c>
      <c r="E1507" s="208" t="s">
        <v>17</v>
      </c>
      <c r="F1507" s="343">
        <v>1.3</v>
      </c>
      <c r="G1507" s="343">
        <v>1.35</v>
      </c>
      <c r="H1507" s="330">
        <f t="shared" si="54"/>
        <v>1.7550000000000001</v>
      </c>
    </row>
    <row r="1508" spans="2:8" s="42" customFormat="1" ht="15" x14ac:dyDescent="0.25">
      <c r="B1508" s="654"/>
      <c r="C1508" s="675"/>
      <c r="D1508" s="40" t="s">
        <v>735</v>
      </c>
      <c r="E1508" s="208" t="s">
        <v>17</v>
      </c>
      <c r="F1508" s="343">
        <v>5.55</v>
      </c>
      <c r="G1508" s="343">
        <v>4.05</v>
      </c>
      <c r="H1508" s="330">
        <f t="shared" si="54"/>
        <v>22.477499999999999</v>
      </c>
    </row>
    <row r="1509" spans="2:8" s="42" customFormat="1" ht="15" x14ac:dyDescent="0.25">
      <c r="B1509" s="654"/>
      <c r="C1509" s="675"/>
      <c r="D1509" s="40" t="s">
        <v>993</v>
      </c>
      <c r="E1509" s="208" t="s">
        <v>17</v>
      </c>
      <c r="F1509" s="343">
        <v>3.45</v>
      </c>
      <c r="G1509" s="343">
        <v>3.45</v>
      </c>
      <c r="H1509" s="330">
        <f t="shared" si="54"/>
        <v>11.902500000000002</v>
      </c>
    </row>
    <row r="1510" spans="2:8" s="42" customFormat="1" ht="15" x14ac:dyDescent="0.25">
      <c r="B1510" s="654"/>
      <c r="C1510" s="675"/>
      <c r="D1510" s="40" t="s">
        <v>994</v>
      </c>
      <c r="E1510" s="208" t="s">
        <v>17</v>
      </c>
      <c r="F1510" s="343">
        <v>9.76</v>
      </c>
      <c r="G1510" s="343">
        <v>5.3</v>
      </c>
      <c r="H1510" s="330">
        <f t="shared" si="54"/>
        <v>51.727999999999994</v>
      </c>
    </row>
    <row r="1511" spans="2:8" s="42" customFormat="1" ht="15" x14ac:dyDescent="0.25">
      <c r="B1511" s="654"/>
      <c r="C1511" s="675"/>
      <c r="D1511" s="40" t="s">
        <v>995</v>
      </c>
      <c r="E1511" s="208" t="s">
        <v>17</v>
      </c>
      <c r="F1511" s="343">
        <v>5.05</v>
      </c>
      <c r="G1511" s="343">
        <v>6.95</v>
      </c>
      <c r="H1511" s="330">
        <f t="shared" si="54"/>
        <v>35.097499999999997</v>
      </c>
    </row>
    <row r="1512" spans="2:8" s="42" customFormat="1" ht="15" x14ac:dyDescent="0.25">
      <c r="B1512" s="654"/>
      <c r="C1512" s="675"/>
      <c r="D1512" s="40" t="s">
        <v>996</v>
      </c>
      <c r="E1512" s="208" t="s">
        <v>17</v>
      </c>
      <c r="F1512" s="343">
        <v>5.05</v>
      </c>
      <c r="G1512" s="343">
        <v>6.95</v>
      </c>
      <c r="H1512" s="330">
        <f t="shared" si="54"/>
        <v>35.097499999999997</v>
      </c>
    </row>
    <row r="1513" spans="2:8" s="42" customFormat="1" ht="15" x14ac:dyDescent="0.25">
      <c r="B1513" s="654"/>
      <c r="C1513" s="675"/>
      <c r="D1513" s="40" t="s">
        <v>997</v>
      </c>
      <c r="E1513" s="208" t="s">
        <v>17</v>
      </c>
      <c r="F1513" s="343">
        <v>5.05</v>
      </c>
      <c r="G1513" s="343">
        <v>6.95</v>
      </c>
      <c r="H1513" s="330">
        <f t="shared" si="54"/>
        <v>35.097499999999997</v>
      </c>
    </row>
    <row r="1514" spans="2:8" s="42" customFormat="1" ht="15" x14ac:dyDescent="0.25">
      <c r="B1514" s="654"/>
      <c r="C1514" s="675"/>
      <c r="D1514" s="40" t="s">
        <v>998</v>
      </c>
      <c r="E1514" s="208" t="s">
        <v>17</v>
      </c>
      <c r="F1514" s="343">
        <v>5.05</v>
      </c>
      <c r="G1514" s="343">
        <v>6.95</v>
      </c>
      <c r="H1514" s="330">
        <f t="shared" si="54"/>
        <v>35.097499999999997</v>
      </c>
    </row>
    <row r="1515" spans="2:8" s="42" customFormat="1" ht="15" x14ac:dyDescent="0.25">
      <c r="B1515" s="654"/>
      <c r="C1515" s="675"/>
      <c r="D1515" s="40" t="s">
        <v>732</v>
      </c>
      <c r="E1515" s="208" t="s">
        <v>17</v>
      </c>
      <c r="F1515" s="343">
        <v>2.96</v>
      </c>
      <c r="G1515" s="343">
        <v>7.75</v>
      </c>
      <c r="H1515" s="330">
        <f t="shared" si="54"/>
        <v>22.94</v>
      </c>
    </row>
    <row r="1516" spans="2:8" s="42" customFormat="1" ht="15" x14ac:dyDescent="0.25">
      <c r="B1516" s="654"/>
      <c r="C1516" s="675"/>
      <c r="D1516" s="40" t="s">
        <v>352</v>
      </c>
      <c r="E1516" s="208" t="s">
        <v>17</v>
      </c>
      <c r="F1516" s="343">
        <v>4.9000000000000004</v>
      </c>
      <c r="G1516" s="343">
        <v>7.85</v>
      </c>
      <c r="H1516" s="330">
        <f t="shared" si="54"/>
        <v>38.465000000000003</v>
      </c>
    </row>
    <row r="1517" spans="2:8" s="42" customFormat="1" ht="15" x14ac:dyDescent="0.25">
      <c r="B1517" s="654"/>
      <c r="C1517" s="675"/>
      <c r="D1517" s="40" t="s">
        <v>999</v>
      </c>
      <c r="E1517" s="208" t="s">
        <v>17</v>
      </c>
      <c r="F1517" s="343">
        <v>7.08</v>
      </c>
      <c r="G1517" s="343">
        <v>4.9000000000000004</v>
      </c>
      <c r="H1517" s="330">
        <f t="shared" si="54"/>
        <v>34.692</v>
      </c>
    </row>
    <row r="1518" spans="2:8" s="42" customFormat="1" ht="15" x14ac:dyDescent="0.25">
      <c r="B1518" s="654"/>
      <c r="C1518" s="675"/>
      <c r="D1518" s="40" t="s">
        <v>613</v>
      </c>
      <c r="E1518" s="208" t="s">
        <v>17</v>
      </c>
      <c r="F1518" s="343">
        <v>7.25</v>
      </c>
      <c r="G1518" s="343">
        <v>4.9000000000000004</v>
      </c>
      <c r="H1518" s="330">
        <f t="shared" si="54"/>
        <v>35.525000000000006</v>
      </c>
    </row>
    <row r="1519" spans="2:8" s="42" customFormat="1" ht="15" x14ac:dyDescent="0.25">
      <c r="B1519" s="654"/>
      <c r="C1519" s="675"/>
      <c r="D1519" s="40" t="s">
        <v>1000</v>
      </c>
      <c r="E1519" s="208" t="s">
        <v>17</v>
      </c>
      <c r="F1519" s="343">
        <v>4.9000000000000004</v>
      </c>
      <c r="G1519" s="343">
        <v>7.26</v>
      </c>
      <c r="H1519" s="330">
        <f t="shared" si="54"/>
        <v>35.573999999999998</v>
      </c>
    </row>
    <row r="1520" spans="2:8" s="42" customFormat="1" ht="15" x14ac:dyDescent="0.25">
      <c r="B1520" s="654"/>
      <c r="C1520" s="675"/>
      <c r="D1520" s="40" t="s">
        <v>1001</v>
      </c>
      <c r="E1520" s="208" t="s">
        <v>17</v>
      </c>
      <c r="F1520" s="343">
        <v>4.9000000000000004</v>
      </c>
      <c r="G1520" s="343">
        <v>6.5</v>
      </c>
      <c r="H1520" s="330">
        <f t="shared" si="54"/>
        <v>31.85</v>
      </c>
    </row>
    <row r="1521" spans="2:8" s="42" customFormat="1" ht="15" x14ac:dyDescent="0.25">
      <c r="B1521" s="654"/>
      <c r="C1521" s="675"/>
      <c r="D1521" s="40" t="s">
        <v>21</v>
      </c>
      <c r="E1521" s="208" t="s">
        <v>17</v>
      </c>
      <c r="F1521" s="343">
        <v>5.52</v>
      </c>
      <c r="G1521" s="343">
        <v>4.75</v>
      </c>
      <c r="H1521" s="330">
        <f t="shared" si="54"/>
        <v>26.22</v>
      </c>
    </row>
    <row r="1522" spans="2:8" s="42" customFormat="1" ht="15" x14ac:dyDescent="0.25">
      <c r="B1522" s="654"/>
      <c r="C1522" s="675"/>
      <c r="D1522" s="40" t="s">
        <v>28</v>
      </c>
      <c r="E1522" s="208" t="s">
        <v>17</v>
      </c>
      <c r="F1522" s="343">
        <v>4.75</v>
      </c>
      <c r="G1522" s="343">
        <v>5.52</v>
      </c>
      <c r="H1522" s="330">
        <f t="shared" si="54"/>
        <v>26.22</v>
      </c>
    </row>
    <row r="1523" spans="2:8" s="42" customFormat="1" ht="15" x14ac:dyDescent="0.25">
      <c r="B1523" s="654"/>
      <c r="C1523" s="655"/>
      <c r="D1523" s="335" t="s">
        <v>371</v>
      </c>
      <c r="E1523" s="208" t="s">
        <v>17</v>
      </c>
      <c r="F1523" s="343">
        <v>4.9000000000000004</v>
      </c>
      <c r="G1523" s="343">
        <v>3.5</v>
      </c>
      <c r="H1523" s="330">
        <f t="shared" si="54"/>
        <v>17.150000000000002</v>
      </c>
    </row>
    <row r="1524" spans="2:8" s="42" customFormat="1" ht="15" x14ac:dyDescent="0.25">
      <c r="B1524" s="654"/>
      <c r="C1524" s="655"/>
      <c r="D1524" s="334" t="s">
        <v>720</v>
      </c>
      <c r="E1524" s="208" t="s">
        <v>17</v>
      </c>
      <c r="F1524" s="343">
        <v>4.9000000000000004</v>
      </c>
      <c r="G1524" s="343">
        <v>7.85</v>
      </c>
      <c r="H1524" s="330">
        <f t="shared" si="54"/>
        <v>38.465000000000003</v>
      </c>
    </row>
    <row r="1525" spans="2:8" s="42" customFormat="1" ht="15" x14ac:dyDescent="0.25">
      <c r="B1525" s="654"/>
      <c r="C1525" s="675"/>
      <c r="D1525" s="40" t="s">
        <v>1002</v>
      </c>
      <c r="E1525" s="208" t="s">
        <v>17</v>
      </c>
      <c r="F1525" s="343">
        <v>2.65</v>
      </c>
      <c r="G1525" s="343">
        <v>4.75</v>
      </c>
      <c r="H1525" s="330">
        <f t="shared" si="54"/>
        <v>12.5875</v>
      </c>
    </row>
    <row r="1526" spans="2:8" s="42" customFormat="1" ht="15" x14ac:dyDescent="0.25">
      <c r="B1526" s="654"/>
      <c r="C1526" s="675"/>
      <c r="D1526" s="40" t="s">
        <v>1003</v>
      </c>
      <c r="E1526" s="208" t="s">
        <v>17</v>
      </c>
      <c r="F1526" s="343">
        <v>2.65</v>
      </c>
      <c r="G1526" s="343">
        <v>4.75</v>
      </c>
      <c r="H1526" s="330">
        <f t="shared" si="54"/>
        <v>12.5875</v>
      </c>
    </row>
    <row r="1527" spans="2:8" s="42" customFormat="1" ht="15" x14ac:dyDescent="0.25">
      <c r="B1527" s="654"/>
      <c r="C1527" s="675"/>
      <c r="D1527" s="40" t="s">
        <v>347</v>
      </c>
      <c r="E1527" s="208" t="s">
        <v>17</v>
      </c>
      <c r="F1527" s="343">
        <v>1.65</v>
      </c>
      <c r="G1527" s="343">
        <v>1.7</v>
      </c>
      <c r="H1527" s="330">
        <f t="shared" si="54"/>
        <v>2.8049999999999997</v>
      </c>
    </row>
    <row r="1528" spans="2:8" s="42" customFormat="1" ht="15" x14ac:dyDescent="0.25">
      <c r="B1528" s="654"/>
      <c r="C1528" s="675"/>
      <c r="D1528" s="40" t="s">
        <v>568</v>
      </c>
      <c r="E1528" s="208" t="s">
        <v>17</v>
      </c>
      <c r="F1528" s="343">
        <v>9.1</v>
      </c>
      <c r="G1528" s="343">
        <v>5.4</v>
      </c>
      <c r="H1528" s="330">
        <f t="shared" si="54"/>
        <v>49.14</v>
      </c>
    </row>
    <row r="1529" spans="2:8" s="42" customFormat="1" ht="15" x14ac:dyDescent="0.25">
      <c r="B1529" s="654"/>
      <c r="C1529" s="675"/>
      <c r="D1529" s="40" t="s">
        <v>353</v>
      </c>
      <c r="E1529" s="208" t="s">
        <v>17</v>
      </c>
      <c r="F1529" s="343">
        <v>3.5</v>
      </c>
      <c r="G1529" s="343">
        <v>2.2000000000000002</v>
      </c>
      <c r="H1529" s="330">
        <f t="shared" si="54"/>
        <v>7.7000000000000011</v>
      </c>
    </row>
    <row r="1530" spans="2:8" s="42" customFormat="1" ht="15" x14ac:dyDescent="0.25">
      <c r="B1530" s="654"/>
      <c r="C1530" s="675"/>
      <c r="D1530" s="40" t="s">
        <v>569</v>
      </c>
      <c r="E1530" s="208" t="s">
        <v>17</v>
      </c>
      <c r="F1530" s="343">
        <v>2.4500000000000002</v>
      </c>
      <c r="G1530" s="343">
        <v>1.4</v>
      </c>
      <c r="H1530" s="330">
        <f t="shared" si="54"/>
        <v>3.43</v>
      </c>
    </row>
    <row r="1531" spans="2:8" s="42" customFormat="1" ht="15" x14ac:dyDescent="0.25">
      <c r="B1531" s="654"/>
      <c r="C1531" s="675"/>
      <c r="D1531" s="59" t="s">
        <v>570</v>
      </c>
      <c r="E1531" s="208" t="s">
        <v>17</v>
      </c>
      <c r="F1531" s="343">
        <v>2.1</v>
      </c>
      <c r="G1531" s="343">
        <v>1.4</v>
      </c>
      <c r="H1531" s="330">
        <f t="shared" si="54"/>
        <v>2.94</v>
      </c>
    </row>
    <row r="1532" spans="2:8" s="42" customFormat="1" ht="15" x14ac:dyDescent="0.2">
      <c r="B1532" s="654"/>
      <c r="C1532" s="675"/>
      <c r="D1532" s="100" t="s">
        <v>332</v>
      </c>
      <c r="E1532" s="208" t="s">
        <v>17</v>
      </c>
      <c r="F1532" s="343">
        <v>2.5499999999999998</v>
      </c>
      <c r="G1532" s="343">
        <v>2</v>
      </c>
      <c r="H1532" s="330">
        <f t="shared" si="54"/>
        <v>5.0999999999999996</v>
      </c>
    </row>
    <row r="1533" spans="2:8" s="42" customFormat="1" ht="15" x14ac:dyDescent="0.2">
      <c r="B1533" s="654"/>
      <c r="C1533" s="675"/>
      <c r="D1533" s="100" t="s">
        <v>331</v>
      </c>
      <c r="E1533" s="208" t="s">
        <v>17</v>
      </c>
      <c r="F1533" s="343">
        <v>8.9499999999999993</v>
      </c>
      <c r="G1533" s="343">
        <v>2.7</v>
      </c>
      <c r="H1533" s="330">
        <f t="shared" si="54"/>
        <v>24.164999999999999</v>
      </c>
    </row>
    <row r="1534" spans="2:8" s="42" customFormat="1" ht="15" x14ac:dyDescent="0.2">
      <c r="B1534" s="654"/>
      <c r="C1534" s="675"/>
      <c r="D1534" s="100" t="s">
        <v>606</v>
      </c>
      <c r="E1534" s="208" t="s">
        <v>17</v>
      </c>
      <c r="F1534" s="343">
        <v>2.5</v>
      </c>
      <c r="G1534" s="343">
        <v>4.25</v>
      </c>
      <c r="H1534" s="330">
        <f t="shared" si="54"/>
        <v>10.625</v>
      </c>
    </row>
    <row r="1535" spans="2:8" s="42" customFormat="1" ht="15" x14ac:dyDescent="0.2">
      <c r="B1535" s="654"/>
      <c r="C1535" s="675"/>
      <c r="D1535" s="100" t="s">
        <v>741</v>
      </c>
      <c r="E1535" s="208" t="s">
        <v>17</v>
      </c>
      <c r="F1535" s="343">
        <v>1.5</v>
      </c>
      <c r="G1535" s="343">
        <v>1.8</v>
      </c>
      <c r="H1535" s="330">
        <f t="shared" si="54"/>
        <v>2.7</v>
      </c>
    </row>
    <row r="1536" spans="2:8" s="42" customFormat="1" ht="15" x14ac:dyDescent="0.2">
      <c r="B1536" s="654"/>
      <c r="C1536" s="675"/>
      <c r="D1536" s="100" t="s">
        <v>579</v>
      </c>
      <c r="E1536" s="208" t="s">
        <v>17</v>
      </c>
      <c r="F1536" s="343">
        <v>2.2000000000000002</v>
      </c>
      <c r="G1536" s="343">
        <v>1</v>
      </c>
      <c r="H1536" s="330">
        <f t="shared" si="54"/>
        <v>2.2000000000000002</v>
      </c>
    </row>
    <row r="1537" spans="2:8" s="42" customFormat="1" ht="15.75" x14ac:dyDescent="0.25">
      <c r="B1537" s="654"/>
      <c r="C1537" s="675"/>
      <c r="D1537" s="145" t="s">
        <v>1004</v>
      </c>
      <c r="E1537" s="214" t="s">
        <v>17</v>
      </c>
      <c r="F1537" s="372" t="s">
        <v>27</v>
      </c>
      <c r="G1537" s="370" t="s">
        <v>40</v>
      </c>
      <c r="H1537" s="196">
        <f>SUM(H1538:H1538)</f>
        <v>449.90999999999997</v>
      </c>
    </row>
    <row r="1538" spans="2:8" s="42" customFormat="1" ht="15" x14ac:dyDescent="0.25">
      <c r="B1538" s="656"/>
      <c r="C1538" s="674"/>
      <c r="D1538" s="146" t="s">
        <v>1005</v>
      </c>
      <c r="E1538" s="208" t="s">
        <v>17</v>
      </c>
      <c r="F1538" s="371">
        <f>39+74.27+20.88+2.17+35+16.44+82.53+11.81+145.54+9.26+4.48+5.53</f>
        <v>446.90999999999997</v>
      </c>
      <c r="G1538" s="209">
        <v>3</v>
      </c>
      <c r="H1538" s="199">
        <f>F1538+G1538</f>
        <v>449.90999999999997</v>
      </c>
    </row>
    <row r="1539" spans="2:8" s="42" customFormat="1" ht="15.75" x14ac:dyDescent="0.25">
      <c r="B1539" s="598" t="s">
        <v>1006</v>
      </c>
      <c r="C1539" s="442" t="s">
        <v>1007</v>
      </c>
      <c r="D1539" s="51" t="s">
        <v>1008</v>
      </c>
      <c r="E1539" s="49" t="s">
        <v>17</v>
      </c>
      <c r="F1539" s="332" t="s">
        <v>27</v>
      </c>
      <c r="G1539" s="169" t="s">
        <v>40</v>
      </c>
      <c r="H1539" s="192">
        <f>SUM(H1540:H1554)</f>
        <v>30.836999999999996</v>
      </c>
    </row>
    <row r="1540" spans="2:8" s="42" customFormat="1" ht="15" x14ac:dyDescent="0.25">
      <c r="B1540" s="652"/>
      <c r="C1540" s="673"/>
      <c r="D1540" s="40" t="s">
        <v>1009</v>
      </c>
      <c r="E1540" s="140" t="s">
        <v>17</v>
      </c>
      <c r="F1540" s="167">
        <f>4.9*2+7.1*2</f>
        <v>24</v>
      </c>
      <c r="G1540" s="167">
        <v>0.1</v>
      </c>
      <c r="H1540" s="191">
        <f>G1540*F1540</f>
        <v>2.4000000000000004</v>
      </c>
    </row>
    <row r="1541" spans="2:8" s="42" customFormat="1" ht="15" x14ac:dyDescent="0.25">
      <c r="B1541" s="654"/>
      <c r="C1541" s="675"/>
      <c r="D1541" s="40" t="s">
        <v>1010</v>
      </c>
      <c r="E1541" s="140" t="s">
        <v>17</v>
      </c>
      <c r="F1541" s="140">
        <f>7.85*2+4.9*2</f>
        <v>25.5</v>
      </c>
      <c r="G1541" s="167">
        <v>0.1</v>
      </c>
      <c r="H1541" s="191">
        <f t="shared" ref="H1541:H1554" si="55">G1541*F1541</f>
        <v>2.5500000000000003</v>
      </c>
    </row>
    <row r="1542" spans="2:8" s="42" customFormat="1" ht="15" x14ac:dyDescent="0.25">
      <c r="B1542" s="654"/>
      <c r="C1542" s="675"/>
      <c r="D1542" s="40" t="s">
        <v>1011</v>
      </c>
      <c r="E1542" s="140" t="s">
        <v>17</v>
      </c>
      <c r="F1542" s="167">
        <f>8.4+8.4+6.35+6.35</f>
        <v>29.5</v>
      </c>
      <c r="G1542" s="167">
        <v>0.1</v>
      </c>
      <c r="H1542" s="191">
        <f t="shared" si="55"/>
        <v>2.95</v>
      </c>
    </row>
    <row r="1543" spans="2:8" s="42" customFormat="1" ht="15" x14ac:dyDescent="0.25">
      <c r="B1543" s="654"/>
      <c r="C1543" s="675"/>
      <c r="D1543" s="40" t="s">
        <v>1012</v>
      </c>
      <c r="E1543" s="140" t="s">
        <v>17</v>
      </c>
      <c r="F1543" s="167">
        <f>F1545</f>
        <v>24</v>
      </c>
      <c r="G1543" s="167">
        <v>0.1</v>
      </c>
      <c r="H1543" s="191">
        <f t="shared" si="55"/>
        <v>2.4000000000000004</v>
      </c>
    </row>
    <row r="1544" spans="2:8" s="42" customFormat="1" ht="15" x14ac:dyDescent="0.25">
      <c r="B1544" s="654"/>
      <c r="C1544" s="675"/>
      <c r="D1544" s="40" t="s">
        <v>1013</v>
      </c>
      <c r="E1544" s="140" t="s">
        <v>17</v>
      </c>
      <c r="F1544" s="167">
        <f>F1545</f>
        <v>24</v>
      </c>
      <c r="G1544" s="167">
        <v>0.1</v>
      </c>
      <c r="H1544" s="191">
        <f t="shared" si="55"/>
        <v>2.4000000000000004</v>
      </c>
    </row>
    <row r="1545" spans="2:8" s="42" customFormat="1" ht="15" x14ac:dyDescent="0.25">
      <c r="B1545" s="654"/>
      <c r="C1545" s="675"/>
      <c r="D1545" s="40" t="s">
        <v>1014</v>
      </c>
      <c r="E1545" s="140" t="s">
        <v>17</v>
      </c>
      <c r="F1545" s="167">
        <f>6.95*2+5.05*2</f>
        <v>24</v>
      </c>
      <c r="G1545" s="167">
        <v>0.1</v>
      </c>
      <c r="H1545" s="191">
        <f t="shared" si="55"/>
        <v>2.4000000000000004</v>
      </c>
    </row>
    <row r="1546" spans="2:8" s="42" customFormat="1" ht="15" x14ac:dyDescent="0.25">
      <c r="B1546" s="654"/>
      <c r="C1546" s="675"/>
      <c r="D1546" s="40" t="s">
        <v>1015</v>
      </c>
      <c r="E1546" s="140" t="s">
        <v>17</v>
      </c>
      <c r="F1546" s="167">
        <f>6.95*2+5.05*2</f>
        <v>24</v>
      </c>
      <c r="G1546" s="167">
        <v>0.1</v>
      </c>
      <c r="H1546" s="191">
        <f t="shared" si="55"/>
        <v>2.4000000000000004</v>
      </c>
    </row>
    <row r="1547" spans="2:8" s="42" customFormat="1" ht="15" x14ac:dyDescent="0.25">
      <c r="B1547" s="654"/>
      <c r="C1547" s="675"/>
      <c r="D1547" s="40" t="s">
        <v>1016</v>
      </c>
      <c r="E1547" s="140" t="s">
        <v>17</v>
      </c>
      <c r="F1547" s="167">
        <f>5.3*2+9.78*2</f>
        <v>30.159999999999997</v>
      </c>
      <c r="G1547" s="167">
        <v>0.1</v>
      </c>
      <c r="H1547" s="191">
        <f t="shared" si="55"/>
        <v>3.016</v>
      </c>
    </row>
    <row r="1548" spans="2:8" s="42" customFormat="1" ht="15" x14ac:dyDescent="0.25">
      <c r="B1548" s="654"/>
      <c r="C1548" s="675"/>
      <c r="D1548" s="40" t="s">
        <v>1017</v>
      </c>
      <c r="E1548" s="140" t="s">
        <v>17</v>
      </c>
      <c r="F1548" s="167">
        <f>2.2+2.8*2</f>
        <v>7.8</v>
      </c>
      <c r="G1548" s="167">
        <v>0.1</v>
      </c>
      <c r="H1548" s="191">
        <f t="shared" si="55"/>
        <v>0.78</v>
      </c>
    </row>
    <row r="1549" spans="2:8" s="42" customFormat="1" ht="15" x14ac:dyDescent="0.25">
      <c r="B1549" s="654"/>
      <c r="C1549" s="655"/>
      <c r="D1549" s="334" t="s">
        <v>1018</v>
      </c>
      <c r="E1549" s="140" t="s">
        <v>17</v>
      </c>
      <c r="F1549" s="167">
        <f>7.05+5.15+2.75+1.5+1+2.8</f>
        <v>20.25</v>
      </c>
      <c r="G1549" s="167">
        <v>0.1</v>
      </c>
      <c r="H1549" s="191">
        <f t="shared" si="55"/>
        <v>2.0249999999999999</v>
      </c>
    </row>
    <row r="1550" spans="2:8" s="42" customFormat="1" ht="15" x14ac:dyDescent="0.25">
      <c r="B1550" s="654"/>
      <c r="C1550" s="655"/>
      <c r="D1550" s="334" t="s">
        <v>1019</v>
      </c>
      <c r="E1550" s="140" t="s">
        <v>17</v>
      </c>
      <c r="F1550" s="167">
        <f>2.72*2+3.6+3.6</f>
        <v>12.64</v>
      </c>
      <c r="G1550" s="167">
        <v>0.1</v>
      </c>
      <c r="H1550" s="191">
        <f t="shared" si="55"/>
        <v>1.2640000000000002</v>
      </c>
    </row>
    <row r="1551" spans="2:8" s="42" customFormat="1" ht="15" x14ac:dyDescent="0.25">
      <c r="B1551" s="654"/>
      <c r="C1551" s="655"/>
      <c r="D1551" s="334" t="s">
        <v>1020</v>
      </c>
      <c r="E1551" s="140" t="s">
        <v>17</v>
      </c>
      <c r="F1551" s="167">
        <f>1.35+2.4+1.15+2.9+3.55+0.8</f>
        <v>12.150000000000002</v>
      </c>
      <c r="G1551" s="167">
        <v>0.1</v>
      </c>
      <c r="H1551" s="191">
        <f t="shared" si="55"/>
        <v>1.2150000000000003</v>
      </c>
    </row>
    <row r="1552" spans="2:8" s="42" customFormat="1" ht="15" x14ac:dyDescent="0.25">
      <c r="B1552" s="654"/>
      <c r="C1552" s="655"/>
      <c r="D1552" s="334" t="s">
        <v>1021</v>
      </c>
      <c r="E1552" s="140" t="s">
        <v>17</v>
      </c>
      <c r="F1552" s="167">
        <f>2.96*2+7.75*2</f>
        <v>21.42</v>
      </c>
      <c r="G1552" s="167">
        <v>0.1</v>
      </c>
      <c r="H1552" s="191">
        <f t="shared" si="55"/>
        <v>2.1420000000000003</v>
      </c>
    </row>
    <row r="1553" spans="2:8" s="42" customFormat="1" ht="15" x14ac:dyDescent="0.25">
      <c r="B1553" s="654"/>
      <c r="C1553" s="655"/>
      <c r="D1553" s="334" t="s">
        <v>1022</v>
      </c>
      <c r="E1553" s="140" t="s">
        <v>17</v>
      </c>
      <c r="F1553" s="167">
        <f>5.55+4.05+3.45+2.1</f>
        <v>15.15</v>
      </c>
      <c r="G1553" s="167">
        <v>0.1</v>
      </c>
      <c r="H1553" s="191">
        <f t="shared" si="55"/>
        <v>1.5150000000000001</v>
      </c>
    </row>
    <row r="1554" spans="2:8" s="42" customFormat="1" ht="15" x14ac:dyDescent="0.25">
      <c r="B1554" s="656"/>
      <c r="C1554" s="657"/>
      <c r="D1554" s="334" t="s">
        <v>1023</v>
      </c>
      <c r="E1554" s="140" t="s">
        <v>17</v>
      </c>
      <c r="F1554" s="167">
        <f>3.45*4</f>
        <v>13.8</v>
      </c>
      <c r="G1554" s="167">
        <v>0.1</v>
      </c>
      <c r="H1554" s="191">
        <f t="shared" si="55"/>
        <v>1.3800000000000001</v>
      </c>
    </row>
    <row r="1555" spans="2:8" s="42" customFormat="1" ht="15.75" x14ac:dyDescent="0.25">
      <c r="B1555" s="598" t="s">
        <v>1024</v>
      </c>
      <c r="C1555" s="442">
        <v>261703</v>
      </c>
      <c r="D1555" s="52" t="s">
        <v>1025</v>
      </c>
      <c r="E1555" s="99" t="s">
        <v>17</v>
      </c>
      <c r="F1555" s="536" t="s">
        <v>27</v>
      </c>
      <c r="G1555" s="536" t="s">
        <v>40</v>
      </c>
      <c r="H1555" s="192">
        <f>SUM(H1556:H1556)</f>
        <v>189.28120000000001</v>
      </c>
    </row>
    <row r="1556" spans="2:8" s="42" customFormat="1" ht="15" x14ac:dyDescent="0.25">
      <c r="B1556" s="668"/>
      <c r="C1556" s="669"/>
      <c r="D1556" s="45" t="s">
        <v>1026</v>
      </c>
      <c r="E1556" s="208" t="s">
        <v>17</v>
      </c>
      <c r="F1556" s="333">
        <f>9.75*17.48+1.72*10.96</f>
        <v>189.28120000000001</v>
      </c>
      <c r="G1556" s="333">
        <v>1</v>
      </c>
      <c r="H1556" s="330">
        <f>F1556*G1556</f>
        <v>189.28120000000001</v>
      </c>
    </row>
    <row r="1557" spans="2:8" s="42" customFormat="1" ht="15.75" x14ac:dyDescent="0.25">
      <c r="B1557" s="598" t="s">
        <v>1027</v>
      </c>
      <c r="C1557" s="442">
        <v>261008</v>
      </c>
      <c r="D1557" s="534" t="s">
        <v>1028</v>
      </c>
      <c r="E1557" s="99" t="s">
        <v>17</v>
      </c>
      <c r="F1557" s="536" t="s">
        <v>27</v>
      </c>
      <c r="G1557" s="536" t="s">
        <v>40</v>
      </c>
      <c r="H1557" s="192">
        <f>SUM(H1558:H1567)</f>
        <v>442.06880000000001</v>
      </c>
    </row>
    <row r="1558" spans="2:8" s="42" customFormat="1" ht="15" x14ac:dyDescent="0.25">
      <c r="B1558" s="652"/>
      <c r="C1558" s="653"/>
      <c r="D1558" s="431" t="s">
        <v>1029</v>
      </c>
      <c r="E1558" s="460" t="s">
        <v>17</v>
      </c>
      <c r="F1558" s="333">
        <f>0.18*19.3</f>
        <v>3.4740000000000002</v>
      </c>
      <c r="G1558" s="333">
        <v>1</v>
      </c>
      <c r="H1558" s="330">
        <f>F1558*G1558</f>
        <v>3.4740000000000002</v>
      </c>
    </row>
    <row r="1559" spans="2:8" s="42" customFormat="1" ht="15" x14ac:dyDescent="0.25">
      <c r="B1559" s="654"/>
      <c r="C1559" s="655"/>
      <c r="D1559" s="431" t="s">
        <v>1030</v>
      </c>
      <c r="E1559" s="460" t="s">
        <v>17</v>
      </c>
      <c r="F1559" s="333">
        <v>2.1</v>
      </c>
      <c r="G1559" s="333">
        <v>1</v>
      </c>
      <c r="H1559" s="330">
        <f t="shared" ref="H1559:H1567" si="56">F1559*G1559</f>
        <v>2.1</v>
      </c>
    </row>
    <row r="1560" spans="2:8" s="42" customFormat="1" ht="15" x14ac:dyDescent="0.25">
      <c r="B1560" s="654"/>
      <c r="C1560" s="655"/>
      <c r="D1560" s="431" t="s">
        <v>1031</v>
      </c>
      <c r="E1560" s="460" t="s">
        <v>17</v>
      </c>
      <c r="F1560" s="333">
        <v>1.68</v>
      </c>
      <c r="G1560" s="333">
        <v>1</v>
      </c>
      <c r="H1560" s="330">
        <f t="shared" si="56"/>
        <v>1.68</v>
      </c>
    </row>
    <row r="1561" spans="2:8" s="42" customFormat="1" ht="15" x14ac:dyDescent="0.25">
      <c r="B1561" s="654"/>
      <c r="C1561" s="655"/>
      <c r="D1561" s="431" t="s">
        <v>1032</v>
      </c>
      <c r="E1561" s="460" t="s">
        <v>17</v>
      </c>
      <c r="F1561" s="333">
        <f>1.2*1.8</f>
        <v>2.16</v>
      </c>
      <c r="G1561" s="333">
        <v>1</v>
      </c>
      <c r="H1561" s="330">
        <f t="shared" si="56"/>
        <v>2.16</v>
      </c>
    </row>
    <row r="1562" spans="2:8" s="42" customFormat="1" ht="15" x14ac:dyDescent="0.25">
      <c r="B1562" s="654"/>
      <c r="C1562" s="655"/>
      <c r="D1562" s="431" t="s">
        <v>1033</v>
      </c>
      <c r="E1562" s="460" t="s">
        <v>17</v>
      </c>
      <c r="F1562" s="333">
        <f>0.15*0.15*12*3</f>
        <v>0.81</v>
      </c>
      <c r="G1562" s="333">
        <v>1</v>
      </c>
      <c r="H1562" s="330">
        <f t="shared" si="56"/>
        <v>0.81</v>
      </c>
    </row>
    <row r="1563" spans="2:8" s="42" customFormat="1" ht="15" x14ac:dyDescent="0.25">
      <c r="B1563" s="654"/>
      <c r="C1563" s="655"/>
      <c r="D1563" s="431" t="s">
        <v>1034</v>
      </c>
      <c r="E1563" s="460" t="s">
        <v>17</v>
      </c>
      <c r="F1563" s="333">
        <f>0.36*0.36*6*18</f>
        <v>13.996799999999999</v>
      </c>
      <c r="G1563" s="333">
        <v>1</v>
      </c>
      <c r="H1563" s="330">
        <f t="shared" si="56"/>
        <v>13.996799999999999</v>
      </c>
    </row>
    <row r="1564" spans="2:8" s="42" customFormat="1" ht="15" x14ac:dyDescent="0.25">
      <c r="B1564" s="654"/>
      <c r="C1564" s="655"/>
      <c r="D1564" s="431" t="s">
        <v>1035</v>
      </c>
      <c r="E1564" s="460" t="s">
        <v>17</v>
      </c>
      <c r="F1564" s="333">
        <f>(4.57+9.24+22.78)*1.2</f>
        <v>43.908000000000001</v>
      </c>
      <c r="G1564" s="333">
        <v>1</v>
      </c>
      <c r="H1564" s="330">
        <f t="shared" si="56"/>
        <v>43.908000000000001</v>
      </c>
    </row>
    <row r="1565" spans="2:8" s="42" customFormat="1" ht="15" x14ac:dyDescent="0.25">
      <c r="B1565" s="654"/>
      <c r="C1565" s="655"/>
      <c r="D1565" s="431" t="s">
        <v>1036</v>
      </c>
      <c r="E1565" s="460" t="s">
        <v>17</v>
      </c>
      <c r="F1565" s="333">
        <f>13.65*5+14+16.9+14+16.9+37.89+10.26+20+14.46+17.28</f>
        <v>229.94</v>
      </c>
      <c r="G1565" s="333">
        <v>1</v>
      </c>
      <c r="H1565" s="330">
        <f t="shared" si="56"/>
        <v>229.94</v>
      </c>
    </row>
    <row r="1566" spans="2:8" s="42" customFormat="1" ht="15" x14ac:dyDescent="0.25">
      <c r="B1566" s="654"/>
      <c r="C1566" s="655"/>
      <c r="D1566" s="431" t="s">
        <v>1037</v>
      </c>
      <c r="E1566" s="460" t="s">
        <v>17</v>
      </c>
      <c r="F1566" s="333">
        <f>1.7*20</f>
        <v>34</v>
      </c>
      <c r="G1566" s="333">
        <v>1</v>
      </c>
      <c r="H1566" s="330">
        <f t="shared" si="56"/>
        <v>34</v>
      </c>
    </row>
    <row r="1567" spans="2:8" s="42" customFormat="1" ht="15" x14ac:dyDescent="0.25">
      <c r="B1567" s="656"/>
      <c r="C1567" s="657"/>
      <c r="D1567" s="431" t="s">
        <v>1038</v>
      </c>
      <c r="E1567" s="460" t="s">
        <v>17</v>
      </c>
      <c r="F1567" s="333">
        <v>110</v>
      </c>
      <c r="G1567" s="333">
        <v>1</v>
      </c>
      <c r="H1567" s="330">
        <f t="shared" si="56"/>
        <v>110</v>
      </c>
    </row>
    <row r="1568" spans="2:8" s="42" customFormat="1" ht="15.75" x14ac:dyDescent="0.25">
      <c r="B1568" s="598" t="s">
        <v>1039</v>
      </c>
      <c r="C1568" s="442">
        <v>261502</v>
      </c>
      <c r="D1568" s="535" t="s">
        <v>1040</v>
      </c>
      <c r="E1568" s="99" t="s">
        <v>17</v>
      </c>
      <c r="F1568" s="340" t="s">
        <v>27</v>
      </c>
      <c r="G1568" s="340" t="s">
        <v>40</v>
      </c>
      <c r="H1568" s="192">
        <f>SUM(H1569:H1578)</f>
        <v>442.06880000000001</v>
      </c>
    </row>
    <row r="1569" spans="2:8" s="42" customFormat="1" ht="15" x14ac:dyDescent="0.25">
      <c r="B1569" s="652"/>
      <c r="C1569" s="653"/>
      <c r="D1569" s="431" t="s">
        <v>1029</v>
      </c>
      <c r="E1569" s="429" t="s">
        <v>17</v>
      </c>
      <c r="F1569" s="262">
        <f>0.18*19.3</f>
        <v>3.4740000000000002</v>
      </c>
      <c r="G1569" s="333">
        <v>1</v>
      </c>
      <c r="H1569" s="193">
        <f>F1569*G1569</f>
        <v>3.4740000000000002</v>
      </c>
    </row>
    <row r="1570" spans="2:8" s="42" customFormat="1" ht="15" x14ac:dyDescent="0.25">
      <c r="B1570" s="654"/>
      <c r="C1570" s="655"/>
      <c r="D1570" s="431" t="s">
        <v>1030</v>
      </c>
      <c r="E1570" s="429" t="s">
        <v>17</v>
      </c>
      <c r="F1570" s="262">
        <v>2.1</v>
      </c>
      <c r="G1570" s="333">
        <v>1</v>
      </c>
      <c r="H1570" s="193">
        <f t="shared" ref="H1570:H1578" si="57">F1570*G1570</f>
        <v>2.1</v>
      </c>
    </row>
    <row r="1571" spans="2:8" s="42" customFormat="1" ht="15" x14ac:dyDescent="0.25">
      <c r="B1571" s="654"/>
      <c r="C1571" s="655"/>
      <c r="D1571" s="431" t="s">
        <v>1031</v>
      </c>
      <c r="E1571" s="429" t="s">
        <v>17</v>
      </c>
      <c r="F1571" s="262">
        <v>1.68</v>
      </c>
      <c r="G1571" s="333">
        <v>1</v>
      </c>
      <c r="H1571" s="193">
        <f t="shared" si="57"/>
        <v>1.68</v>
      </c>
    </row>
    <row r="1572" spans="2:8" s="42" customFormat="1" ht="15" x14ac:dyDescent="0.25">
      <c r="B1572" s="654"/>
      <c r="C1572" s="655"/>
      <c r="D1572" s="431" t="s">
        <v>1032</v>
      </c>
      <c r="E1572" s="429" t="s">
        <v>17</v>
      </c>
      <c r="F1572" s="262">
        <f>1.2*1.8</f>
        <v>2.16</v>
      </c>
      <c r="G1572" s="333">
        <v>1</v>
      </c>
      <c r="H1572" s="193">
        <f t="shared" si="57"/>
        <v>2.16</v>
      </c>
    </row>
    <row r="1573" spans="2:8" s="42" customFormat="1" ht="15" x14ac:dyDescent="0.25">
      <c r="B1573" s="654"/>
      <c r="C1573" s="655"/>
      <c r="D1573" s="431" t="s">
        <v>1033</v>
      </c>
      <c r="E1573" s="429" t="s">
        <v>17</v>
      </c>
      <c r="F1573" s="262">
        <f>0.15*0.15*12*3</f>
        <v>0.81</v>
      </c>
      <c r="G1573" s="333">
        <v>1</v>
      </c>
      <c r="H1573" s="193">
        <f t="shared" si="57"/>
        <v>0.81</v>
      </c>
    </row>
    <row r="1574" spans="2:8" s="42" customFormat="1" ht="15" x14ac:dyDescent="0.25">
      <c r="B1574" s="654"/>
      <c r="C1574" s="655"/>
      <c r="D1574" s="431" t="s">
        <v>1041</v>
      </c>
      <c r="E1574" s="429" t="s">
        <v>17</v>
      </c>
      <c r="F1574" s="262">
        <f>0.36*0.36*6*18</f>
        <v>13.996799999999999</v>
      </c>
      <c r="G1574" s="333">
        <v>1</v>
      </c>
      <c r="H1574" s="193">
        <f t="shared" si="57"/>
        <v>13.996799999999999</v>
      </c>
    </row>
    <row r="1575" spans="2:8" s="42" customFormat="1" ht="15" x14ac:dyDescent="0.25">
      <c r="B1575" s="654"/>
      <c r="C1575" s="655"/>
      <c r="D1575" s="431" t="s">
        <v>1035</v>
      </c>
      <c r="E1575" s="429" t="s">
        <v>17</v>
      </c>
      <c r="F1575" s="262">
        <f>(4.57+9.24+22.78)*1.2</f>
        <v>43.908000000000001</v>
      </c>
      <c r="G1575" s="333">
        <v>1</v>
      </c>
      <c r="H1575" s="193">
        <f t="shared" si="57"/>
        <v>43.908000000000001</v>
      </c>
    </row>
    <row r="1576" spans="2:8" s="42" customFormat="1" ht="15" x14ac:dyDescent="0.25">
      <c r="B1576" s="654"/>
      <c r="C1576" s="655"/>
      <c r="D1576" s="431" t="s">
        <v>1036</v>
      </c>
      <c r="E1576" s="429" t="s">
        <v>17</v>
      </c>
      <c r="F1576" s="262">
        <f>13.65*5+14+16.9+14+16.9+37.89+10.26+20+14.46+17.28</f>
        <v>229.94</v>
      </c>
      <c r="G1576" s="333">
        <v>1</v>
      </c>
      <c r="H1576" s="193">
        <f t="shared" si="57"/>
        <v>229.94</v>
      </c>
    </row>
    <row r="1577" spans="2:8" s="42" customFormat="1" ht="15" x14ac:dyDescent="0.25">
      <c r="B1577" s="654"/>
      <c r="C1577" s="655"/>
      <c r="D1577" s="431" t="s">
        <v>1037</v>
      </c>
      <c r="E1577" s="429" t="s">
        <v>17</v>
      </c>
      <c r="F1577" s="262">
        <f>1.7*20</f>
        <v>34</v>
      </c>
      <c r="G1577" s="333">
        <v>1</v>
      </c>
      <c r="H1577" s="193">
        <f t="shared" si="57"/>
        <v>34</v>
      </c>
    </row>
    <row r="1578" spans="2:8" s="42" customFormat="1" ht="15" x14ac:dyDescent="0.25">
      <c r="B1578" s="656"/>
      <c r="C1578" s="657"/>
      <c r="D1578" s="431" t="s">
        <v>1038</v>
      </c>
      <c r="E1578" s="429" t="s">
        <v>17</v>
      </c>
      <c r="F1578" s="262">
        <v>110</v>
      </c>
      <c r="G1578" s="333">
        <v>1</v>
      </c>
      <c r="H1578" s="193">
        <f t="shared" si="57"/>
        <v>110</v>
      </c>
    </row>
    <row r="1579" spans="2:8" s="42" customFormat="1" ht="15.75" x14ac:dyDescent="0.25">
      <c r="B1579" s="680" t="s">
        <v>1042</v>
      </c>
      <c r="C1579" s="681"/>
      <c r="D1579" s="726"/>
      <c r="E1579" s="681"/>
      <c r="F1579" s="681"/>
      <c r="G1579" s="681"/>
      <c r="H1579" s="682"/>
    </row>
    <row r="1580" spans="2:8" s="42" customFormat="1" ht="15.75" x14ac:dyDescent="0.25">
      <c r="B1580" s="610">
        <v>20</v>
      </c>
      <c r="C1580" s="430">
        <v>270000</v>
      </c>
      <c r="D1580" s="720" t="s">
        <v>1043</v>
      </c>
      <c r="E1580" s="681"/>
      <c r="F1580" s="681"/>
      <c r="G1580" s="721"/>
      <c r="H1580" s="195" t="s">
        <v>14</v>
      </c>
    </row>
    <row r="1581" spans="2:8" s="42" customFormat="1" ht="31.5" x14ac:dyDescent="0.25">
      <c r="B1581" s="598" t="s">
        <v>1044</v>
      </c>
      <c r="C1581" s="442">
        <v>270210</v>
      </c>
      <c r="D1581" s="60" t="s">
        <v>1045</v>
      </c>
      <c r="E1581" s="99" t="s">
        <v>17</v>
      </c>
      <c r="F1581" s="685" t="s">
        <v>94</v>
      </c>
      <c r="G1581" s="686"/>
      <c r="H1581" s="192">
        <f>SUM(H1582:H1583)</f>
        <v>157</v>
      </c>
    </row>
    <row r="1582" spans="2:8" s="42" customFormat="1" ht="15" x14ac:dyDescent="0.25">
      <c r="B1582" s="718"/>
      <c r="C1582" s="719"/>
      <c r="D1582" s="41" t="s">
        <v>1046</v>
      </c>
      <c r="E1582" s="129" t="s">
        <v>17</v>
      </c>
      <c r="F1582" s="687">
        <f>65+68</f>
        <v>133</v>
      </c>
      <c r="G1582" s="688"/>
      <c r="H1582" s="202">
        <f>F1582</f>
        <v>133</v>
      </c>
    </row>
    <row r="1583" spans="2:8" s="42" customFormat="1" ht="15" x14ac:dyDescent="0.25">
      <c r="B1583" s="718"/>
      <c r="C1583" s="719"/>
      <c r="D1583" s="41" t="s">
        <v>1047</v>
      </c>
      <c r="E1583" s="129" t="s">
        <v>17</v>
      </c>
      <c r="F1583" s="687">
        <v>24</v>
      </c>
      <c r="G1583" s="688"/>
      <c r="H1583" s="202">
        <f>F1583</f>
        <v>24</v>
      </c>
    </row>
    <row r="1584" spans="2:8" s="42" customFormat="1" ht="15.75" x14ac:dyDescent="0.25">
      <c r="B1584" s="598" t="s">
        <v>1048</v>
      </c>
      <c r="C1584" s="442">
        <v>270501</v>
      </c>
      <c r="D1584" s="92" t="s">
        <v>1049</v>
      </c>
      <c r="E1584" s="99" t="s">
        <v>17</v>
      </c>
      <c r="F1584" s="685" t="s">
        <v>94</v>
      </c>
      <c r="G1584" s="686"/>
      <c r="H1584" s="192">
        <f>H1585</f>
        <v>1667.51</v>
      </c>
    </row>
    <row r="1585" spans="2:10" s="42" customFormat="1" ht="15" x14ac:dyDescent="0.25">
      <c r="B1585" s="716"/>
      <c r="C1585" s="717"/>
      <c r="D1585" s="46" t="s">
        <v>1050</v>
      </c>
      <c r="E1585" s="129" t="s">
        <v>17</v>
      </c>
      <c r="F1585" s="723">
        <v>1667.51</v>
      </c>
      <c r="G1585" s="723"/>
      <c r="H1585" s="194">
        <f>F1585</f>
        <v>1667.51</v>
      </c>
    </row>
    <row r="1586" spans="2:10" s="42" customFormat="1" ht="15.75" x14ac:dyDescent="0.25">
      <c r="B1586" s="598" t="s">
        <v>1051</v>
      </c>
      <c r="C1586" s="442">
        <v>270810</v>
      </c>
      <c r="D1586" s="92" t="s">
        <v>1052</v>
      </c>
      <c r="E1586" s="99" t="s">
        <v>67</v>
      </c>
      <c r="F1586" s="685" t="s">
        <v>1053</v>
      </c>
      <c r="G1586" s="686"/>
      <c r="H1586" s="192">
        <f>H1587</f>
        <v>1</v>
      </c>
    </row>
    <row r="1587" spans="2:10" s="42" customFormat="1" ht="15.75" x14ac:dyDescent="0.25">
      <c r="B1587" s="714"/>
      <c r="C1587" s="715"/>
      <c r="D1587" s="41" t="s">
        <v>1054</v>
      </c>
      <c r="E1587" s="140" t="s">
        <v>67</v>
      </c>
      <c r="F1587" s="708">
        <v>1</v>
      </c>
      <c r="G1587" s="709"/>
      <c r="H1587" s="193">
        <f>F1587</f>
        <v>1</v>
      </c>
    </row>
    <row r="1588" spans="2:10" s="42" customFormat="1" ht="15.75" x14ac:dyDescent="0.25">
      <c r="B1588" s="598" t="s">
        <v>1055</v>
      </c>
      <c r="C1588" s="442" t="s">
        <v>1056</v>
      </c>
      <c r="D1588" s="92" t="s">
        <v>1057</v>
      </c>
      <c r="E1588" s="99" t="s">
        <v>17</v>
      </c>
      <c r="F1588" s="164" t="s">
        <v>27</v>
      </c>
      <c r="G1588" s="164" t="s">
        <v>40</v>
      </c>
      <c r="H1588" s="192">
        <f>SUM(H1589:H1593)</f>
        <v>2.8800000000000008</v>
      </c>
    </row>
    <row r="1589" spans="2:10" s="42" customFormat="1" ht="15" customHeight="1" x14ac:dyDescent="0.25">
      <c r="B1589" s="658"/>
      <c r="C1589" s="693"/>
      <c r="D1589" s="41" t="s">
        <v>1058</v>
      </c>
      <c r="E1589" s="129" t="s">
        <v>17</v>
      </c>
      <c r="F1589" s="168">
        <v>0.4</v>
      </c>
      <c r="G1589" s="168">
        <v>0.8</v>
      </c>
      <c r="H1589" s="193">
        <f>3*G1589*F1589</f>
        <v>0.96000000000000019</v>
      </c>
    </row>
    <row r="1590" spans="2:10" s="42" customFormat="1" ht="15" customHeight="1" x14ac:dyDescent="0.25">
      <c r="B1590" s="694"/>
      <c r="C1590" s="695"/>
      <c r="D1590" s="41" t="s">
        <v>1059</v>
      </c>
      <c r="E1590" s="129" t="s">
        <v>17</v>
      </c>
      <c r="F1590" s="168">
        <v>0.4</v>
      </c>
      <c r="G1590" s="168">
        <v>0.8</v>
      </c>
      <c r="H1590" s="193">
        <f>3*G1590*F1590</f>
        <v>0.96000000000000019</v>
      </c>
    </row>
    <row r="1591" spans="2:10" s="42" customFormat="1" ht="15" customHeight="1" x14ac:dyDescent="0.25">
      <c r="B1591" s="694"/>
      <c r="C1591" s="695"/>
      <c r="D1591" s="47" t="s">
        <v>1060</v>
      </c>
      <c r="E1591" s="129" t="s">
        <v>17</v>
      </c>
      <c r="F1591" s="168">
        <v>0.4</v>
      </c>
      <c r="G1591" s="168">
        <v>0.8</v>
      </c>
      <c r="H1591" s="193">
        <f>1*G1591*F1591</f>
        <v>0.32000000000000006</v>
      </c>
    </row>
    <row r="1592" spans="2:10" s="42" customFormat="1" ht="15.75" customHeight="1" x14ac:dyDescent="0.25">
      <c r="B1592" s="694"/>
      <c r="C1592" s="695"/>
      <c r="D1592" s="41" t="s">
        <v>1061</v>
      </c>
      <c r="E1592" s="129" t="s">
        <v>17</v>
      </c>
      <c r="F1592" s="168">
        <v>0.4</v>
      </c>
      <c r="G1592" s="168">
        <v>0.8</v>
      </c>
      <c r="H1592" s="193">
        <f>1*G1592*F1592</f>
        <v>0.32000000000000006</v>
      </c>
    </row>
    <row r="1593" spans="2:10" s="42" customFormat="1" ht="15.75" customHeight="1" x14ac:dyDescent="0.25">
      <c r="B1593" s="660"/>
      <c r="C1593" s="696"/>
      <c r="D1593" s="41" t="s">
        <v>1062</v>
      </c>
      <c r="E1593" s="129" t="s">
        <v>17</v>
      </c>
      <c r="F1593" s="168">
        <v>0.4</v>
      </c>
      <c r="G1593" s="168">
        <v>0.8</v>
      </c>
      <c r="H1593" s="193">
        <f>1*G1593*F1593</f>
        <v>0.32000000000000006</v>
      </c>
    </row>
    <row r="1594" spans="2:10" s="42" customFormat="1" ht="15.75" x14ac:dyDescent="0.25">
      <c r="B1594" s="598" t="s">
        <v>1063</v>
      </c>
      <c r="C1594" s="442">
        <v>271303</v>
      </c>
      <c r="D1594" s="92" t="s">
        <v>1064</v>
      </c>
      <c r="E1594" s="99" t="s">
        <v>63</v>
      </c>
      <c r="F1594" s="685" t="s">
        <v>27</v>
      </c>
      <c r="G1594" s="686"/>
      <c r="H1594" s="192">
        <f>SUM(H1595:H1597)</f>
        <v>20</v>
      </c>
    </row>
    <row r="1595" spans="2:10" s="42" customFormat="1" ht="15" x14ac:dyDescent="0.25">
      <c r="B1595" s="652"/>
      <c r="C1595" s="673"/>
      <c r="D1595" s="41" t="s">
        <v>1065</v>
      </c>
      <c r="E1595" s="129" t="s">
        <v>63</v>
      </c>
      <c r="F1595" s="687">
        <v>3.5</v>
      </c>
      <c r="G1595" s="688"/>
      <c r="H1595" s="449">
        <f>F1595</f>
        <v>3.5</v>
      </c>
    </row>
    <row r="1596" spans="2:10" s="42" customFormat="1" ht="15" x14ac:dyDescent="0.25">
      <c r="B1596" s="654"/>
      <c r="C1596" s="675"/>
      <c r="D1596" s="41" t="s">
        <v>372</v>
      </c>
      <c r="E1596" s="129" t="s">
        <v>63</v>
      </c>
      <c r="F1596" s="687">
        <v>3.5</v>
      </c>
      <c r="G1596" s="722"/>
      <c r="H1596" s="498">
        <f>F1596</f>
        <v>3.5</v>
      </c>
    </row>
    <row r="1597" spans="2:10" s="42" customFormat="1" ht="15" x14ac:dyDescent="0.25">
      <c r="B1597" s="656"/>
      <c r="C1597" s="674"/>
      <c r="D1597" s="41" t="s">
        <v>1066</v>
      </c>
      <c r="E1597" s="129" t="s">
        <v>63</v>
      </c>
      <c r="F1597" s="687">
        <v>13</v>
      </c>
      <c r="G1597" s="722"/>
      <c r="H1597" s="499">
        <f>F1597</f>
        <v>13</v>
      </c>
    </row>
    <row r="1598" spans="2:10" s="42" customFormat="1" ht="15.6" customHeight="1" x14ac:dyDescent="0.25">
      <c r="B1598" s="598" t="s">
        <v>1067</v>
      </c>
      <c r="C1598" s="442" t="s">
        <v>1068</v>
      </c>
      <c r="D1598" s="92" t="s">
        <v>1069</v>
      </c>
      <c r="E1598" s="99" t="s">
        <v>17</v>
      </c>
      <c r="F1598" s="360" t="s">
        <v>27</v>
      </c>
      <c r="G1598" s="495" t="s">
        <v>19</v>
      </c>
      <c r="H1598" s="500">
        <f>SUM(H1599:H1614)</f>
        <v>45.168999999999997</v>
      </c>
    </row>
    <row r="1599" spans="2:10" s="42" customFormat="1" ht="15" x14ac:dyDescent="0.25">
      <c r="B1599" s="836"/>
      <c r="C1599" s="837"/>
      <c r="D1599" s="41" t="s">
        <v>64</v>
      </c>
      <c r="E1599" s="396" t="s">
        <v>17</v>
      </c>
      <c r="F1599" s="404">
        <f>1.4+1.4+6.55+5.27</f>
        <v>14.62</v>
      </c>
      <c r="G1599" s="496">
        <v>0.6</v>
      </c>
      <c r="H1599" s="501">
        <f>F1599*G1599</f>
        <v>8.7719999999999985</v>
      </c>
      <c r="I1599" s="835"/>
      <c r="J1599" s="835"/>
    </row>
    <row r="1600" spans="2:10" s="42" customFormat="1" ht="15" x14ac:dyDescent="0.25">
      <c r="B1600" s="836"/>
      <c r="C1600" s="837"/>
      <c r="D1600" s="41" t="s">
        <v>353</v>
      </c>
      <c r="E1600" s="396" t="s">
        <v>17</v>
      </c>
      <c r="F1600" s="404">
        <v>3.5</v>
      </c>
      <c r="G1600" s="496">
        <v>0.6</v>
      </c>
      <c r="H1600" s="501">
        <f t="shared" ref="H1600:H1614" si="58">F1600*G1600</f>
        <v>2.1</v>
      </c>
      <c r="I1600" s="835"/>
      <c r="J1600" s="835"/>
    </row>
    <row r="1601" spans="2:10" s="42" customFormat="1" ht="15" x14ac:dyDescent="0.25">
      <c r="B1601" s="836"/>
      <c r="C1601" s="837"/>
      <c r="D1601" s="41" t="s">
        <v>603</v>
      </c>
      <c r="E1601" s="396" t="s">
        <v>17</v>
      </c>
      <c r="F1601" s="404">
        <v>0.85</v>
      </c>
      <c r="G1601" s="496">
        <v>0.53</v>
      </c>
      <c r="H1601" s="501">
        <f t="shared" si="58"/>
        <v>0.45050000000000001</v>
      </c>
      <c r="I1601" s="835"/>
      <c r="J1601" s="835"/>
    </row>
    <row r="1602" spans="2:10" s="42" customFormat="1" ht="15" x14ac:dyDescent="0.25">
      <c r="B1602" s="836"/>
      <c r="C1602" s="837"/>
      <c r="D1602" s="439" t="s">
        <v>1070</v>
      </c>
      <c r="E1602" s="396" t="s">
        <v>17</v>
      </c>
      <c r="F1602" s="404">
        <v>0.85</v>
      </c>
      <c r="G1602" s="496">
        <v>0.53</v>
      </c>
      <c r="H1602" s="501">
        <f t="shared" si="58"/>
        <v>0.45050000000000001</v>
      </c>
      <c r="I1602" s="835"/>
      <c r="J1602" s="835"/>
    </row>
    <row r="1603" spans="2:10" s="42" customFormat="1" ht="15" x14ac:dyDescent="0.25">
      <c r="B1603" s="836"/>
      <c r="C1603" s="838"/>
      <c r="D1603" s="437" t="s">
        <v>1071</v>
      </c>
      <c r="E1603" s="438" t="s">
        <v>17</v>
      </c>
      <c r="F1603" s="404">
        <v>2.69</v>
      </c>
      <c r="G1603" s="496">
        <v>0.5</v>
      </c>
      <c r="H1603" s="501">
        <f t="shared" si="58"/>
        <v>1.345</v>
      </c>
      <c r="I1603" s="835"/>
      <c r="J1603" s="835"/>
    </row>
    <row r="1604" spans="2:10" s="42" customFormat="1" ht="15" x14ac:dyDescent="0.25">
      <c r="B1604" s="836"/>
      <c r="C1604" s="838"/>
      <c r="D1604" s="437" t="s">
        <v>342</v>
      </c>
      <c r="E1604" s="438" t="s">
        <v>17</v>
      </c>
      <c r="F1604" s="404">
        <v>2.69</v>
      </c>
      <c r="G1604" s="496">
        <v>0.5</v>
      </c>
      <c r="H1604" s="501">
        <f t="shared" si="58"/>
        <v>1.345</v>
      </c>
      <c r="I1604" s="835"/>
      <c r="J1604" s="835"/>
    </row>
    <row r="1605" spans="2:10" s="42" customFormat="1" ht="15" x14ac:dyDescent="0.25">
      <c r="B1605" s="836"/>
      <c r="C1605" s="838"/>
      <c r="D1605" s="440" t="s">
        <v>1072</v>
      </c>
      <c r="E1605" s="396" t="s">
        <v>17</v>
      </c>
      <c r="F1605" s="404">
        <f>4.25+2.5</f>
        <v>6.75</v>
      </c>
      <c r="G1605" s="496">
        <v>0.5</v>
      </c>
      <c r="H1605" s="501">
        <f>F1605*G1605*3</f>
        <v>10.125</v>
      </c>
      <c r="I1605" s="835"/>
      <c r="J1605" s="835"/>
    </row>
    <row r="1606" spans="2:10" s="42" customFormat="1" ht="15" x14ac:dyDescent="0.25">
      <c r="B1606" s="836"/>
      <c r="C1606" s="838"/>
      <c r="D1606" s="338" t="s">
        <v>1073</v>
      </c>
      <c r="E1606" s="396" t="s">
        <v>17</v>
      </c>
      <c r="F1606" s="404">
        <f>1.08+1.28</f>
        <v>2.3600000000000003</v>
      </c>
      <c r="G1606" s="496">
        <v>0.3</v>
      </c>
      <c r="H1606" s="501">
        <f>F1606*G1606*3</f>
        <v>2.1240000000000001</v>
      </c>
      <c r="I1606" s="835"/>
      <c r="J1606" s="835"/>
    </row>
    <row r="1607" spans="2:10" s="42" customFormat="1" ht="15" x14ac:dyDescent="0.25">
      <c r="B1607" s="836"/>
      <c r="C1607" s="838"/>
      <c r="D1607" s="338" t="s">
        <v>1074</v>
      </c>
      <c r="E1607" s="396" t="s">
        <v>17</v>
      </c>
      <c r="F1607" s="404">
        <v>2</v>
      </c>
      <c r="G1607" s="496">
        <v>0.6</v>
      </c>
      <c r="H1607" s="501">
        <f t="shared" si="58"/>
        <v>1.2</v>
      </c>
      <c r="I1607" s="835"/>
      <c r="J1607" s="835"/>
    </row>
    <row r="1608" spans="2:10" s="42" customFormat="1" ht="15" x14ac:dyDescent="0.25">
      <c r="B1608" s="836"/>
      <c r="C1608" s="837"/>
      <c r="D1608" s="41" t="s">
        <v>28</v>
      </c>
      <c r="E1608" s="396" t="s">
        <v>17</v>
      </c>
      <c r="F1608" s="404">
        <v>2.25</v>
      </c>
      <c r="G1608" s="496">
        <v>0.6</v>
      </c>
      <c r="H1608" s="501">
        <f t="shared" si="58"/>
        <v>1.3499999999999999</v>
      </c>
      <c r="I1608" s="835"/>
      <c r="J1608" s="835"/>
    </row>
    <row r="1609" spans="2:10" s="42" customFormat="1" ht="15" x14ac:dyDescent="0.25">
      <c r="B1609" s="836"/>
      <c r="C1609" s="837"/>
      <c r="D1609" s="41" t="s">
        <v>21</v>
      </c>
      <c r="E1609" s="396" t="s">
        <v>17</v>
      </c>
      <c r="F1609" s="404">
        <v>2.25</v>
      </c>
      <c r="G1609" s="496">
        <v>0.6</v>
      </c>
      <c r="H1609" s="501">
        <f t="shared" si="58"/>
        <v>1.3499999999999999</v>
      </c>
      <c r="I1609" s="835"/>
      <c r="J1609" s="835"/>
    </row>
    <row r="1610" spans="2:10" s="42" customFormat="1" ht="15" x14ac:dyDescent="0.25">
      <c r="B1610" s="836"/>
      <c r="C1610" s="837"/>
      <c r="D1610" s="41" t="s">
        <v>22</v>
      </c>
      <c r="E1610" s="396" t="s">
        <v>17</v>
      </c>
      <c r="F1610" s="404">
        <v>2.25</v>
      </c>
      <c r="G1610" s="496">
        <v>0.6</v>
      </c>
      <c r="H1610" s="501">
        <f t="shared" si="58"/>
        <v>1.3499999999999999</v>
      </c>
      <c r="I1610" s="835"/>
      <c r="J1610" s="835"/>
    </row>
    <row r="1611" spans="2:10" s="42" customFormat="1" ht="15" x14ac:dyDescent="0.25">
      <c r="B1611" s="836"/>
      <c r="C1611" s="837"/>
      <c r="D1611" s="41" t="s">
        <v>29</v>
      </c>
      <c r="E1611" s="396" t="s">
        <v>17</v>
      </c>
      <c r="F1611" s="404">
        <v>3</v>
      </c>
      <c r="G1611" s="496">
        <v>0.6</v>
      </c>
      <c r="H1611" s="501">
        <f t="shared" si="58"/>
        <v>1.7999999999999998</v>
      </c>
      <c r="I1611" s="835"/>
      <c r="J1611" s="835"/>
    </row>
    <row r="1612" spans="2:10" s="42" customFormat="1" ht="15" x14ac:dyDescent="0.25">
      <c r="B1612" s="836"/>
      <c r="C1612" s="837"/>
      <c r="D1612" s="41" t="s">
        <v>371</v>
      </c>
      <c r="E1612" s="396" t="s">
        <v>17</v>
      </c>
      <c r="F1612" s="404">
        <f>1.4+1.94+2.2+1.85</f>
        <v>7.3900000000000006</v>
      </c>
      <c r="G1612" s="496">
        <v>0.65</v>
      </c>
      <c r="H1612" s="501">
        <f t="shared" si="58"/>
        <v>4.8035000000000005</v>
      </c>
      <c r="I1612" s="835"/>
      <c r="J1612" s="835"/>
    </row>
    <row r="1613" spans="2:10" s="42" customFormat="1" ht="15" x14ac:dyDescent="0.25">
      <c r="B1613" s="836"/>
      <c r="C1613" s="837"/>
      <c r="D1613" s="41" t="s">
        <v>720</v>
      </c>
      <c r="E1613" s="396" t="s">
        <v>17</v>
      </c>
      <c r="F1613" s="404">
        <f>1.4+1.94+2.2+1.85</f>
        <v>7.3900000000000006</v>
      </c>
      <c r="G1613" s="496">
        <v>0.65</v>
      </c>
      <c r="H1613" s="501">
        <f t="shared" si="58"/>
        <v>4.8035000000000005</v>
      </c>
      <c r="I1613" s="835"/>
      <c r="J1613" s="835"/>
    </row>
    <row r="1614" spans="2:10" s="42" customFormat="1" ht="15" x14ac:dyDescent="0.25">
      <c r="B1614" s="836"/>
      <c r="C1614" s="837"/>
      <c r="D1614" s="41" t="s">
        <v>350</v>
      </c>
      <c r="E1614" s="396" t="s">
        <v>17</v>
      </c>
      <c r="F1614" s="404">
        <v>3</v>
      </c>
      <c r="G1614" s="496">
        <v>0.6</v>
      </c>
      <c r="H1614" s="501">
        <f t="shared" si="58"/>
        <v>1.7999999999999998</v>
      </c>
      <c r="I1614" s="835"/>
      <c r="J1614" s="835"/>
    </row>
    <row r="1615" spans="2:10" s="42" customFormat="1" ht="15.75" x14ac:dyDescent="0.25">
      <c r="B1615" s="598" t="s">
        <v>1075</v>
      </c>
      <c r="C1615" s="442" t="s">
        <v>1076</v>
      </c>
      <c r="D1615" s="92" t="s">
        <v>1077</v>
      </c>
      <c r="E1615" s="99" t="s">
        <v>63</v>
      </c>
      <c r="F1615" s="839" t="s">
        <v>27</v>
      </c>
      <c r="G1615" s="840"/>
      <c r="H1615" s="502">
        <f>H1616+H1619+H1622+H1624+H1626+H1628+H1630+H1632+H1634+H1636+H1638+H1640+H1643+H1646+H1648</f>
        <v>41.4</v>
      </c>
    </row>
    <row r="1616" spans="2:10" s="42" customFormat="1" ht="15.75" x14ac:dyDescent="0.25">
      <c r="B1616" s="658"/>
      <c r="C1616" s="693"/>
      <c r="D1616" s="212" t="s">
        <v>64</v>
      </c>
      <c r="E1616" s="210" t="s">
        <v>63</v>
      </c>
      <c r="F1616" s="724" t="s">
        <v>27</v>
      </c>
      <c r="G1616" s="725"/>
      <c r="H1616" s="497">
        <f>SUM(H1617:H1618)</f>
        <v>4</v>
      </c>
    </row>
    <row r="1617" spans="2:8" s="42" customFormat="1" ht="15" x14ac:dyDescent="0.25">
      <c r="B1617" s="694"/>
      <c r="C1617" s="695"/>
      <c r="D1617" s="41" t="s">
        <v>1078</v>
      </c>
      <c r="E1617" s="129" t="s">
        <v>63</v>
      </c>
      <c r="F1617" s="708">
        <f>1.8+0.5</f>
        <v>2.2999999999999998</v>
      </c>
      <c r="G1617" s="709"/>
      <c r="H1617" s="193">
        <f>F1617</f>
        <v>2.2999999999999998</v>
      </c>
    </row>
    <row r="1618" spans="2:8" s="42" customFormat="1" ht="15" x14ac:dyDescent="0.25">
      <c r="B1618" s="694"/>
      <c r="C1618" s="695"/>
      <c r="D1618" s="41" t="s">
        <v>1079</v>
      </c>
      <c r="E1618" s="129" t="s">
        <v>63</v>
      </c>
      <c r="F1618" s="708">
        <f>1.2+0.5</f>
        <v>1.7</v>
      </c>
      <c r="G1618" s="709"/>
      <c r="H1618" s="193">
        <f>F1618</f>
        <v>1.7</v>
      </c>
    </row>
    <row r="1619" spans="2:8" s="42" customFormat="1" ht="15.75" x14ac:dyDescent="0.25">
      <c r="B1619" s="694"/>
      <c r="C1619" s="695"/>
      <c r="D1619" s="212" t="s">
        <v>353</v>
      </c>
      <c r="E1619" s="213" t="s">
        <v>63</v>
      </c>
      <c r="F1619" s="724" t="s">
        <v>27</v>
      </c>
      <c r="G1619" s="725"/>
      <c r="H1619" s="211">
        <f>SUM(H1620:H1621)</f>
        <v>3.2</v>
      </c>
    </row>
    <row r="1620" spans="2:8" s="42" customFormat="1" ht="15" x14ac:dyDescent="0.25">
      <c r="B1620" s="694"/>
      <c r="C1620" s="695"/>
      <c r="D1620" s="41" t="s">
        <v>1080</v>
      </c>
      <c r="E1620" s="129" t="s">
        <v>63</v>
      </c>
      <c r="F1620" s="708">
        <v>1.5</v>
      </c>
      <c r="G1620" s="709"/>
      <c r="H1620" s="193">
        <f>F1620</f>
        <v>1.5</v>
      </c>
    </row>
    <row r="1621" spans="2:8" s="42" customFormat="1" ht="15" x14ac:dyDescent="0.25">
      <c r="B1621" s="694"/>
      <c r="C1621" s="695"/>
      <c r="D1621" s="41" t="s">
        <v>1081</v>
      </c>
      <c r="E1621" s="129" t="s">
        <v>63</v>
      </c>
      <c r="F1621" s="708">
        <f>1.2+0.5</f>
        <v>1.7</v>
      </c>
      <c r="G1621" s="709"/>
      <c r="H1621" s="193">
        <f>F1621</f>
        <v>1.7</v>
      </c>
    </row>
    <row r="1622" spans="2:8" s="42" customFormat="1" ht="15.75" x14ac:dyDescent="0.25">
      <c r="B1622" s="694"/>
      <c r="C1622" s="695"/>
      <c r="D1622" s="212" t="s">
        <v>569</v>
      </c>
      <c r="E1622" s="213" t="s">
        <v>63</v>
      </c>
      <c r="F1622" s="724" t="s">
        <v>27</v>
      </c>
      <c r="G1622" s="725"/>
      <c r="H1622" s="211">
        <f>H1623</f>
        <v>0.6</v>
      </c>
    </row>
    <row r="1623" spans="2:8" s="42" customFormat="1" ht="15" x14ac:dyDescent="0.25">
      <c r="B1623" s="694"/>
      <c r="C1623" s="695"/>
      <c r="D1623" s="41" t="s">
        <v>1082</v>
      </c>
      <c r="E1623" s="129" t="s">
        <v>63</v>
      </c>
      <c r="F1623" s="708">
        <v>0.6</v>
      </c>
      <c r="G1623" s="709"/>
      <c r="H1623" s="193">
        <f>F1623</f>
        <v>0.6</v>
      </c>
    </row>
    <row r="1624" spans="2:8" s="42" customFormat="1" ht="15.75" x14ac:dyDescent="0.25">
      <c r="B1624" s="694"/>
      <c r="C1624" s="695"/>
      <c r="D1624" s="212" t="s">
        <v>570</v>
      </c>
      <c r="E1624" s="213" t="s">
        <v>63</v>
      </c>
      <c r="F1624" s="724" t="s">
        <v>27</v>
      </c>
      <c r="G1624" s="725"/>
      <c r="H1624" s="211">
        <f>H1625</f>
        <v>0.6</v>
      </c>
    </row>
    <row r="1625" spans="2:8" s="42" customFormat="1" ht="15" x14ac:dyDescent="0.25">
      <c r="B1625" s="694"/>
      <c r="C1625" s="695"/>
      <c r="D1625" s="41" t="s">
        <v>1082</v>
      </c>
      <c r="E1625" s="129" t="s">
        <v>63</v>
      </c>
      <c r="F1625" s="708">
        <v>0.6</v>
      </c>
      <c r="G1625" s="709"/>
      <c r="H1625" s="193">
        <f>F1625</f>
        <v>0.6</v>
      </c>
    </row>
    <row r="1626" spans="2:8" s="42" customFormat="1" ht="15.75" x14ac:dyDescent="0.25">
      <c r="B1626" s="694"/>
      <c r="C1626" s="695"/>
      <c r="D1626" s="212" t="s">
        <v>332</v>
      </c>
      <c r="E1626" s="213" t="s">
        <v>63</v>
      </c>
      <c r="F1626" s="724" t="s">
        <v>27</v>
      </c>
      <c r="G1626" s="725"/>
      <c r="H1626" s="211">
        <f>H1627</f>
        <v>1.2</v>
      </c>
    </row>
    <row r="1627" spans="2:8" s="42" customFormat="1" ht="15" x14ac:dyDescent="0.25">
      <c r="B1627" s="694"/>
      <c r="C1627" s="695"/>
      <c r="D1627" s="41" t="s">
        <v>1083</v>
      </c>
      <c r="E1627" s="129" t="s">
        <v>63</v>
      </c>
      <c r="F1627" s="708">
        <v>1.2</v>
      </c>
      <c r="G1627" s="709"/>
      <c r="H1627" s="193">
        <f>F1627</f>
        <v>1.2</v>
      </c>
    </row>
    <row r="1628" spans="2:8" s="42" customFormat="1" ht="15.75" x14ac:dyDescent="0.25">
      <c r="B1628" s="694"/>
      <c r="C1628" s="695"/>
      <c r="D1628" s="212" t="s">
        <v>571</v>
      </c>
      <c r="E1628" s="213" t="s">
        <v>63</v>
      </c>
      <c r="F1628" s="724" t="s">
        <v>27</v>
      </c>
      <c r="G1628" s="725"/>
      <c r="H1628" s="211">
        <f>H1629</f>
        <v>1.2</v>
      </c>
    </row>
    <row r="1629" spans="2:8" s="42" customFormat="1" ht="15" x14ac:dyDescent="0.25">
      <c r="B1629" s="694"/>
      <c r="C1629" s="695"/>
      <c r="D1629" s="41" t="s">
        <v>1084</v>
      </c>
      <c r="E1629" s="129" t="s">
        <v>63</v>
      </c>
      <c r="F1629" s="708">
        <v>1.2</v>
      </c>
      <c r="G1629" s="709"/>
      <c r="H1629" s="193">
        <f>F1629</f>
        <v>1.2</v>
      </c>
    </row>
    <row r="1630" spans="2:8" s="42" customFormat="1" ht="15.75" x14ac:dyDescent="0.25">
      <c r="B1630" s="694"/>
      <c r="C1630" s="695"/>
      <c r="D1630" s="212" t="s">
        <v>342</v>
      </c>
      <c r="E1630" s="213" t="s">
        <v>63</v>
      </c>
      <c r="F1630" s="724" t="s">
        <v>27</v>
      </c>
      <c r="G1630" s="725"/>
      <c r="H1630" s="211">
        <f>H1631</f>
        <v>1.8</v>
      </c>
    </row>
    <row r="1631" spans="2:8" s="42" customFormat="1" ht="15" x14ac:dyDescent="0.25">
      <c r="B1631" s="694"/>
      <c r="C1631" s="695"/>
      <c r="D1631" s="41" t="s">
        <v>1085</v>
      </c>
      <c r="E1631" s="129" t="s">
        <v>63</v>
      </c>
      <c r="F1631" s="708">
        <v>1.8</v>
      </c>
      <c r="G1631" s="709"/>
      <c r="H1631" s="193">
        <f>F1631</f>
        <v>1.8</v>
      </c>
    </row>
    <row r="1632" spans="2:8" s="42" customFormat="1" ht="15.75" x14ac:dyDescent="0.25">
      <c r="B1632" s="694"/>
      <c r="C1632" s="695"/>
      <c r="D1632" s="212" t="s">
        <v>1086</v>
      </c>
      <c r="E1632" s="213" t="s">
        <v>63</v>
      </c>
      <c r="F1632" s="724" t="s">
        <v>27</v>
      </c>
      <c r="G1632" s="725"/>
      <c r="H1632" s="211">
        <f>H1633</f>
        <v>1.8</v>
      </c>
    </row>
    <row r="1633" spans="2:8" s="42" customFormat="1" ht="15" x14ac:dyDescent="0.25">
      <c r="B1633" s="694"/>
      <c r="C1633" s="695"/>
      <c r="D1633" s="41" t="s">
        <v>1085</v>
      </c>
      <c r="E1633" s="129" t="s">
        <v>63</v>
      </c>
      <c r="F1633" s="708">
        <v>1.8</v>
      </c>
      <c r="G1633" s="709"/>
      <c r="H1633" s="193">
        <f>F1633</f>
        <v>1.8</v>
      </c>
    </row>
    <row r="1634" spans="2:8" s="42" customFormat="1" ht="15.75" x14ac:dyDescent="0.25">
      <c r="B1634" s="694"/>
      <c r="C1634" s="695"/>
      <c r="D1634" s="212" t="s">
        <v>28</v>
      </c>
      <c r="E1634" s="213" t="s">
        <v>63</v>
      </c>
      <c r="F1634" s="724" t="s">
        <v>27</v>
      </c>
      <c r="G1634" s="725"/>
      <c r="H1634" s="211">
        <f>H1635</f>
        <v>5.4</v>
      </c>
    </row>
    <row r="1635" spans="2:8" s="42" customFormat="1" ht="15" x14ac:dyDescent="0.25">
      <c r="B1635" s="694"/>
      <c r="C1635" s="695"/>
      <c r="D1635" s="41" t="s">
        <v>1087</v>
      </c>
      <c r="E1635" s="129" t="s">
        <v>63</v>
      </c>
      <c r="F1635" s="708">
        <f>3*1.8</f>
        <v>5.4</v>
      </c>
      <c r="G1635" s="709"/>
      <c r="H1635" s="193">
        <f>F1635</f>
        <v>5.4</v>
      </c>
    </row>
    <row r="1636" spans="2:8" s="42" customFormat="1" ht="15.75" x14ac:dyDescent="0.25">
      <c r="B1636" s="694"/>
      <c r="C1636" s="695"/>
      <c r="D1636" s="212" t="s">
        <v>21</v>
      </c>
      <c r="E1636" s="213" t="s">
        <v>63</v>
      </c>
      <c r="F1636" s="724" t="s">
        <v>27</v>
      </c>
      <c r="G1636" s="725"/>
      <c r="H1636" s="211">
        <f>H1637</f>
        <v>5.4</v>
      </c>
    </row>
    <row r="1637" spans="2:8" s="42" customFormat="1" ht="15" x14ac:dyDescent="0.25">
      <c r="B1637" s="694"/>
      <c r="C1637" s="695"/>
      <c r="D1637" s="41" t="s">
        <v>1087</v>
      </c>
      <c r="E1637" s="129" t="s">
        <v>63</v>
      </c>
      <c r="F1637" s="708">
        <f>3*1.8</f>
        <v>5.4</v>
      </c>
      <c r="G1637" s="709"/>
      <c r="H1637" s="193">
        <f>F1637</f>
        <v>5.4</v>
      </c>
    </row>
    <row r="1638" spans="2:8" s="42" customFormat="1" ht="15.75" x14ac:dyDescent="0.25">
      <c r="B1638" s="694"/>
      <c r="C1638" s="695"/>
      <c r="D1638" s="212" t="s">
        <v>22</v>
      </c>
      <c r="E1638" s="213" t="s">
        <v>63</v>
      </c>
      <c r="F1638" s="724" t="s">
        <v>27</v>
      </c>
      <c r="G1638" s="725"/>
      <c r="H1638" s="211">
        <f>H1639</f>
        <v>1.8</v>
      </c>
    </row>
    <row r="1639" spans="2:8" s="42" customFormat="1" ht="15" x14ac:dyDescent="0.25">
      <c r="B1639" s="694"/>
      <c r="C1639" s="695"/>
      <c r="D1639" s="41" t="s">
        <v>1078</v>
      </c>
      <c r="E1639" s="129" t="s">
        <v>63</v>
      </c>
      <c r="F1639" s="708">
        <v>1.8</v>
      </c>
      <c r="G1639" s="709"/>
      <c r="H1639" s="193">
        <f>F1639</f>
        <v>1.8</v>
      </c>
    </row>
    <row r="1640" spans="2:8" s="42" customFormat="1" ht="15.75" x14ac:dyDescent="0.25">
      <c r="B1640" s="694"/>
      <c r="C1640" s="695"/>
      <c r="D1640" s="212" t="s">
        <v>29</v>
      </c>
      <c r="E1640" s="213" t="s">
        <v>63</v>
      </c>
      <c r="F1640" s="724" t="s">
        <v>27</v>
      </c>
      <c r="G1640" s="725"/>
      <c r="H1640" s="211">
        <f>SUM(H1641:H1642)</f>
        <v>5.4</v>
      </c>
    </row>
    <row r="1641" spans="2:8" s="42" customFormat="1" ht="15" x14ac:dyDescent="0.25">
      <c r="B1641" s="694"/>
      <c r="C1641" s="695"/>
      <c r="D1641" s="41" t="s">
        <v>1078</v>
      </c>
      <c r="E1641" s="129" t="s">
        <v>63</v>
      </c>
      <c r="F1641" s="708">
        <v>1.8</v>
      </c>
      <c r="G1641" s="709"/>
      <c r="H1641" s="193">
        <f>F1641</f>
        <v>1.8</v>
      </c>
    </row>
    <row r="1642" spans="2:8" s="42" customFormat="1" ht="15" x14ac:dyDescent="0.25">
      <c r="B1642" s="694"/>
      <c r="C1642" s="695"/>
      <c r="D1642" s="41" t="s">
        <v>1088</v>
      </c>
      <c r="E1642" s="129" t="s">
        <v>63</v>
      </c>
      <c r="F1642" s="708">
        <f>2*1.8</f>
        <v>3.6</v>
      </c>
      <c r="G1642" s="709"/>
      <c r="H1642" s="193">
        <f>F1642</f>
        <v>3.6</v>
      </c>
    </row>
    <row r="1643" spans="2:8" s="42" customFormat="1" ht="15.75" x14ac:dyDescent="0.25">
      <c r="B1643" s="694"/>
      <c r="C1643" s="695"/>
      <c r="D1643" s="212" t="s">
        <v>350</v>
      </c>
      <c r="E1643" s="213" t="s">
        <v>63</v>
      </c>
      <c r="F1643" s="724" t="s">
        <v>27</v>
      </c>
      <c r="G1643" s="725"/>
      <c r="H1643" s="211">
        <f>SUM(H1644:H1645)</f>
        <v>5.4</v>
      </c>
    </row>
    <row r="1644" spans="2:8" s="42" customFormat="1" ht="15" x14ac:dyDescent="0.25">
      <c r="B1644" s="694"/>
      <c r="C1644" s="695"/>
      <c r="D1644" s="41" t="s">
        <v>1078</v>
      </c>
      <c r="E1644" s="129" t="s">
        <v>63</v>
      </c>
      <c r="F1644" s="708">
        <v>1.8</v>
      </c>
      <c r="G1644" s="709"/>
      <c r="H1644" s="193">
        <f>F1644</f>
        <v>1.8</v>
      </c>
    </row>
    <row r="1645" spans="2:8" s="42" customFormat="1" ht="15" x14ac:dyDescent="0.25">
      <c r="B1645" s="694"/>
      <c r="C1645" s="695"/>
      <c r="D1645" s="41" t="s">
        <v>1088</v>
      </c>
      <c r="E1645" s="129" t="s">
        <v>63</v>
      </c>
      <c r="F1645" s="708">
        <f>2*1.8</f>
        <v>3.6</v>
      </c>
      <c r="G1645" s="709"/>
      <c r="H1645" s="193">
        <f>F1645</f>
        <v>3.6</v>
      </c>
    </row>
    <row r="1646" spans="2:8" s="42" customFormat="1" ht="15.75" x14ac:dyDescent="0.25">
      <c r="B1646" s="694"/>
      <c r="C1646" s="695"/>
      <c r="D1646" s="352" t="s">
        <v>354</v>
      </c>
      <c r="E1646" s="213" t="s">
        <v>63</v>
      </c>
      <c r="F1646" s="724" t="s">
        <v>27</v>
      </c>
      <c r="G1646" s="725"/>
      <c r="H1646" s="211">
        <f>H1647</f>
        <v>1.8</v>
      </c>
    </row>
    <row r="1647" spans="2:8" s="42" customFormat="1" ht="15" x14ac:dyDescent="0.25">
      <c r="B1647" s="694"/>
      <c r="C1647" s="845"/>
      <c r="D1647" s="354" t="s">
        <v>1085</v>
      </c>
      <c r="E1647" s="129" t="s">
        <v>63</v>
      </c>
      <c r="F1647" s="708">
        <v>1.8</v>
      </c>
      <c r="G1647" s="709"/>
      <c r="H1647" s="193">
        <f>F1647</f>
        <v>1.8</v>
      </c>
    </row>
    <row r="1648" spans="2:8" s="42" customFormat="1" ht="15.75" x14ac:dyDescent="0.25">
      <c r="B1648" s="594"/>
      <c r="C1648" s="641"/>
      <c r="D1648" s="352" t="s">
        <v>355</v>
      </c>
      <c r="E1648" s="350" t="s">
        <v>63</v>
      </c>
      <c r="F1648" s="676" t="s">
        <v>27</v>
      </c>
      <c r="G1648" s="677"/>
      <c r="H1648" s="351">
        <f>H1649</f>
        <v>1.8</v>
      </c>
    </row>
    <row r="1649" spans="2:9" s="42" customFormat="1" ht="15.75" x14ac:dyDescent="0.25">
      <c r="B1649" s="594"/>
      <c r="C1649" s="641"/>
      <c r="D1649" s="353" t="s">
        <v>1085</v>
      </c>
      <c r="E1649" s="129" t="s">
        <v>63</v>
      </c>
      <c r="F1649" s="678">
        <v>1.8</v>
      </c>
      <c r="G1649" s="679"/>
      <c r="H1649" s="193">
        <f>F1649</f>
        <v>1.8</v>
      </c>
    </row>
    <row r="1650" spans="2:9" s="42" customFormat="1" ht="15.75" x14ac:dyDescent="0.25">
      <c r="B1650" s="598" t="s">
        <v>1089</v>
      </c>
      <c r="C1650" s="442">
        <v>20600</v>
      </c>
      <c r="D1650" s="92" t="s">
        <v>1090</v>
      </c>
      <c r="E1650" s="99" t="s">
        <v>17</v>
      </c>
      <c r="F1650" s="164" t="s">
        <v>27</v>
      </c>
      <c r="G1650" s="164" t="s">
        <v>19</v>
      </c>
      <c r="H1650" s="192">
        <f>H1651</f>
        <v>142.35000000000002</v>
      </c>
    </row>
    <row r="1651" spans="2:9" s="42" customFormat="1" ht="15.75" x14ac:dyDescent="0.25">
      <c r="B1651" s="714"/>
      <c r="C1651" s="715"/>
      <c r="D1651" s="41" t="s">
        <v>1091</v>
      </c>
      <c r="E1651" s="129" t="s">
        <v>17</v>
      </c>
      <c r="F1651" s="43">
        <f>11.8+20.2+15.45</f>
        <v>47.45</v>
      </c>
      <c r="G1651" s="43">
        <v>3</v>
      </c>
      <c r="H1651" s="193">
        <f>G1651*F1651</f>
        <v>142.35000000000002</v>
      </c>
    </row>
    <row r="1652" spans="2:9" s="42" customFormat="1" ht="15.75" x14ac:dyDescent="0.25">
      <c r="B1652" s="591" t="s">
        <v>1092</v>
      </c>
      <c r="C1652" s="642">
        <v>270232</v>
      </c>
      <c r="D1652" s="504" t="s">
        <v>1093</v>
      </c>
      <c r="E1652" s="505" t="s">
        <v>17</v>
      </c>
      <c r="F1652" s="360" t="s">
        <v>27</v>
      </c>
      <c r="G1652" s="360" t="s">
        <v>19</v>
      </c>
      <c r="H1652" s="492">
        <f>SUM(H1653:H1658)</f>
        <v>184.32750000000001</v>
      </c>
    </row>
    <row r="1653" spans="2:9" s="42" customFormat="1" ht="15" x14ac:dyDescent="0.25">
      <c r="B1653" s="643"/>
      <c r="C1653" s="644"/>
      <c r="D1653" s="506" t="s">
        <v>1094</v>
      </c>
      <c r="E1653" s="507" t="s">
        <v>17</v>
      </c>
      <c r="F1653" s="508">
        <v>9</v>
      </c>
      <c r="G1653" s="508">
        <v>3.25</v>
      </c>
      <c r="H1653" s="509">
        <f>G1653*F1653</f>
        <v>29.25</v>
      </c>
    </row>
    <row r="1654" spans="2:9" s="42" customFormat="1" ht="15" x14ac:dyDescent="0.25">
      <c r="B1654" s="645"/>
      <c r="C1654" s="646"/>
      <c r="D1654" s="41" t="s">
        <v>1095</v>
      </c>
      <c r="E1654" s="129" t="s">
        <v>17</v>
      </c>
      <c r="F1654" s="168">
        <v>9</v>
      </c>
      <c r="G1654" s="168">
        <v>3.25</v>
      </c>
      <c r="H1654" s="321">
        <f>G1654*F1654</f>
        <v>29.25</v>
      </c>
    </row>
    <row r="1655" spans="2:9" s="42" customFormat="1" ht="15" x14ac:dyDescent="0.25">
      <c r="B1655" s="645"/>
      <c r="C1655" s="646"/>
      <c r="D1655" s="41" t="s">
        <v>1096</v>
      </c>
      <c r="E1655" s="129" t="s">
        <v>17</v>
      </c>
      <c r="F1655" s="168">
        <v>9</v>
      </c>
      <c r="G1655" s="168">
        <v>3.25</v>
      </c>
      <c r="H1655" s="321">
        <f>G1655*F1655</f>
        <v>29.25</v>
      </c>
    </row>
    <row r="1656" spans="2:9" s="42" customFormat="1" ht="15" x14ac:dyDescent="0.25">
      <c r="B1656" s="645"/>
      <c r="C1656" s="646"/>
      <c r="D1656" s="41" t="s">
        <v>1097</v>
      </c>
      <c r="E1656" s="129" t="s">
        <v>17</v>
      </c>
      <c r="F1656" s="168">
        <v>9.15</v>
      </c>
      <c r="G1656" s="168">
        <v>3.25</v>
      </c>
      <c r="H1656" s="321">
        <f>G1656*F1656</f>
        <v>29.737500000000001</v>
      </c>
    </row>
    <row r="1657" spans="2:9" s="42" customFormat="1" ht="15" x14ac:dyDescent="0.25">
      <c r="B1657" s="645"/>
      <c r="C1657" s="646"/>
      <c r="D1657" s="439" t="s">
        <v>1098</v>
      </c>
      <c r="E1657" s="129" t="s">
        <v>17</v>
      </c>
      <c r="F1657" s="448">
        <v>6.5</v>
      </c>
      <c r="G1657" s="448">
        <v>3.25</v>
      </c>
      <c r="H1657" s="503">
        <f>G1657*F1657</f>
        <v>21.125</v>
      </c>
    </row>
    <row r="1658" spans="2:9" s="42" customFormat="1" ht="15" x14ac:dyDescent="0.25">
      <c r="B1658" s="645"/>
      <c r="C1658" s="646"/>
      <c r="D1658" s="527" t="s">
        <v>579</v>
      </c>
      <c r="E1658" s="513" t="s">
        <v>17</v>
      </c>
      <c r="F1658" s="514">
        <v>22.3</v>
      </c>
      <c r="G1658" s="515">
        <v>2.0499999999999998</v>
      </c>
      <c r="H1658" s="516">
        <f>F1658*G1658</f>
        <v>45.714999999999996</v>
      </c>
    </row>
    <row r="1659" spans="2:9" s="42" customFormat="1" ht="15.75" x14ac:dyDescent="0.25">
      <c r="B1659" s="598" t="s">
        <v>1099</v>
      </c>
      <c r="C1659" s="611" t="s">
        <v>1168</v>
      </c>
      <c r="D1659" s="504" t="e">
        <f>#REF!</f>
        <v>#REF!</v>
      </c>
      <c r="E1659" s="505" t="s">
        <v>63</v>
      </c>
      <c r="F1659" s="841" t="s">
        <v>27</v>
      </c>
      <c r="G1659" s="842"/>
      <c r="H1659" s="492">
        <f>SUM(H1660:H1665)</f>
        <v>195.99</v>
      </c>
    </row>
    <row r="1660" spans="2:9" s="42" customFormat="1" ht="15" x14ac:dyDescent="0.25">
      <c r="B1660" s="645"/>
      <c r="C1660" s="646"/>
      <c r="D1660" s="554" t="s">
        <v>1100</v>
      </c>
      <c r="E1660" s="552" t="s">
        <v>63</v>
      </c>
      <c r="F1660" s="843">
        <f xml:space="preserve"> 46.7+49.85+29.5+12.91+4.47+10.1+20.4+2.76+19.3</f>
        <v>195.99</v>
      </c>
      <c r="G1660" s="844"/>
      <c r="H1660" s="553">
        <f>F1660</f>
        <v>195.99</v>
      </c>
    </row>
    <row r="1661" spans="2:9" s="42" customFormat="1" ht="15" x14ac:dyDescent="0.25">
      <c r="B1661" s="469"/>
      <c r="C1661" s="521"/>
      <c r="D1661" s="522"/>
      <c r="E1661" s="523"/>
      <c r="F1661" s="510"/>
      <c r="G1661" s="511"/>
      <c r="H1661" s="524"/>
    </row>
    <row r="1662" spans="2:9" s="42" customFormat="1" ht="18" x14ac:dyDescent="0.25">
      <c r="B1662" s="525"/>
      <c r="C1662" s="550" t="s">
        <v>1101</v>
      </c>
      <c r="D1662" s="550"/>
      <c r="E1662" s="550"/>
      <c r="F1662" s="550"/>
      <c r="G1662" s="550"/>
      <c r="H1662" s="548"/>
      <c r="I1662" s="517"/>
    </row>
    <row r="1663" spans="2:9" s="42" customFormat="1" ht="18" x14ac:dyDescent="0.25">
      <c r="B1663" s="486"/>
      <c r="C1663" s="286"/>
      <c r="D1663" s="285"/>
      <c r="E1663" s="650"/>
      <c r="F1663" s="650"/>
      <c r="G1663" s="650"/>
      <c r="H1663" s="651"/>
      <c r="I1663" s="518"/>
    </row>
    <row r="1664" spans="2:9" s="42" customFormat="1" ht="18" x14ac:dyDescent="0.25">
      <c r="B1664" s="486"/>
      <c r="C1664" s="280"/>
      <c r="D1664" s="551" t="s">
        <v>1102</v>
      </c>
      <c r="E1664" s="551"/>
      <c r="F1664" s="551"/>
      <c r="G1664" s="551"/>
      <c r="H1664" s="545"/>
      <c r="I1664" s="518"/>
    </row>
    <row r="1665" spans="2:9" s="42" customFormat="1" ht="15" customHeight="1" x14ac:dyDescent="0.25">
      <c r="B1665" s="486"/>
      <c r="C1665" s="17"/>
      <c r="D1665" s="549" t="s">
        <v>1103</v>
      </c>
      <c r="E1665" s="549"/>
      <c r="F1665" s="549"/>
      <c r="G1665" s="549"/>
      <c r="H1665" s="546"/>
      <c r="I1665" s="519"/>
    </row>
    <row r="1666" spans="2:9" s="42" customFormat="1" ht="15" customHeight="1" x14ac:dyDescent="0.25">
      <c r="B1666" s="526"/>
      <c r="C1666" s="490"/>
      <c r="D1666" s="512" t="s">
        <v>1163</v>
      </c>
      <c r="E1666" s="512"/>
      <c r="F1666" s="512"/>
      <c r="G1666" s="512"/>
      <c r="H1666" s="547"/>
      <c r="I1666" s="520"/>
    </row>
    <row r="1667" spans="2:9" s="42" customFormat="1" ht="15" x14ac:dyDescent="0.25">
      <c r="B1667" s="4"/>
      <c r="C1667" s="4"/>
      <c r="D1667" s="6"/>
      <c r="E1667" s="3"/>
      <c r="F1667" s="8"/>
      <c r="G1667" s="8"/>
      <c r="H1667" s="93"/>
    </row>
    <row r="1668" spans="2:9" s="42" customFormat="1" ht="15" x14ac:dyDescent="0.25">
      <c r="B1668" s="4"/>
      <c r="C1668" s="4"/>
      <c r="D1668" s="6"/>
      <c r="E1668" s="3"/>
      <c r="F1668" s="8"/>
      <c r="G1668" s="8"/>
      <c r="H1668" s="93"/>
    </row>
    <row r="1669" spans="2:9" s="42" customFormat="1" ht="15" x14ac:dyDescent="0.25">
      <c r="B1669" s="4"/>
      <c r="C1669" s="4"/>
      <c r="D1669" s="6"/>
      <c r="E1669" s="3"/>
      <c r="F1669" s="8"/>
      <c r="G1669" s="8"/>
      <c r="H1669" s="93"/>
    </row>
    <row r="1670" spans="2:9" s="42" customFormat="1" ht="15" x14ac:dyDescent="0.25">
      <c r="B1670" s="4"/>
      <c r="C1670" s="4"/>
      <c r="D1670" s="6"/>
      <c r="E1670" s="3"/>
      <c r="F1670" s="8"/>
      <c r="G1670" s="8"/>
      <c r="H1670" s="93"/>
    </row>
    <row r="1671" spans="2:9" s="42" customFormat="1" ht="15" x14ac:dyDescent="0.25">
      <c r="B1671" s="4"/>
      <c r="C1671" s="4"/>
      <c r="D1671" s="6"/>
      <c r="E1671" s="3"/>
      <c r="F1671" s="8"/>
      <c r="G1671" s="8"/>
      <c r="H1671" s="93"/>
    </row>
    <row r="1672" spans="2:9" s="42" customFormat="1" ht="15" x14ac:dyDescent="0.25">
      <c r="B1672" s="4"/>
      <c r="C1672" s="4"/>
      <c r="D1672" s="6"/>
      <c r="E1672" s="3"/>
      <c r="F1672" s="8"/>
      <c r="G1672" s="8"/>
      <c r="H1672" s="93"/>
    </row>
    <row r="1673" spans="2:9" s="42" customFormat="1" ht="15" x14ac:dyDescent="0.25">
      <c r="B1673" s="4"/>
      <c r="C1673" s="4"/>
      <c r="D1673" s="6"/>
      <c r="E1673" s="3"/>
      <c r="F1673" s="8"/>
      <c r="G1673" s="8"/>
      <c r="H1673" s="93"/>
    </row>
    <row r="1674" spans="2:9" s="42" customFormat="1" ht="15" x14ac:dyDescent="0.25">
      <c r="B1674" s="4"/>
      <c r="C1674" s="4"/>
      <c r="D1674" s="6"/>
      <c r="E1674" s="3"/>
      <c r="F1674" s="8"/>
      <c r="G1674" s="8"/>
      <c r="H1674" s="93"/>
    </row>
    <row r="1675" spans="2:9" s="42" customFormat="1" ht="15" x14ac:dyDescent="0.25">
      <c r="B1675" s="4"/>
      <c r="C1675" s="4"/>
      <c r="D1675" s="6"/>
      <c r="E1675" s="3"/>
      <c r="F1675" s="8"/>
      <c r="G1675" s="8"/>
      <c r="H1675" s="93"/>
    </row>
    <row r="1676" spans="2:9" s="42" customFormat="1" ht="15" x14ac:dyDescent="0.25">
      <c r="B1676" s="4"/>
      <c r="C1676" s="4"/>
      <c r="D1676" s="6"/>
      <c r="E1676" s="3"/>
      <c r="F1676" s="8"/>
      <c r="G1676" s="8"/>
      <c r="H1676" s="93"/>
    </row>
    <row r="1677" spans="2:9" s="42" customFormat="1" ht="15" x14ac:dyDescent="0.25">
      <c r="B1677" s="4"/>
      <c r="C1677" s="4"/>
      <c r="D1677" s="6"/>
      <c r="E1677" s="3"/>
      <c r="F1677" s="8"/>
      <c r="G1677" s="8"/>
      <c r="H1677" s="93"/>
    </row>
    <row r="1678" spans="2:9" s="42" customFormat="1" ht="15" x14ac:dyDescent="0.25">
      <c r="B1678" s="4"/>
      <c r="C1678" s="4"/>
      <c r="D1678" s="6"/>
      <c r="E1678" s="3"/>
      <c r="F1678" s="8"/>
      <c r="G1678" s="8"/>
      <c r="H1678" s="93"/>
    </row>
    <row r="1679" spans="2:9" s="42" customFormat="1" ht="15" x14ac:dyDescent="0.25">
      <c r="B1679" s="4"/>
      <c r="C1679" s="4"/>
      <c r="D1679" s="6"/>
      <c r="E1679" s="3"/>
      <c r="F1679" s="8"/>
      <c r="G1679" s="8"/>
      <c r="H1679" s="93"/>
    </row>
    <row r="1680" spans="2:9" s="42" customFormat="1" ht="15" x14ac:dyDescent="0.25">
      <c r="B1680" s="4"/>
      <c r="C1680" s="4"/>
      <c r="D1680" s="6"/>
      <c r="E1680" s="3"/>
      <c r="F1680" s="8"/>
      <c r="G1680" s="8"/>
      <c r="H1680" s="93"/>
    </row>
    <row r="1681" spans="2:8" s="42" customFormat="1" ht="15" x14ac:dyDescent="0.25">
      <c r="B1681" s="4"/>
      <c r="C1681" s="4"/>
      <c r="D1681" s="6"/>
      <c r="E1681" s="3"/>
      <c r="F1681" s="8"/>
      <c r="G1681" s="8"/>
      <c r="H1681" s="93"/>
    </row>
    <row r="1682" spans="2:8" s="42" customFormat="1" ht="15" x14ac:dyDescent="0.25">
      <c r="B1682" s="4"/>
      <c r="C1682" s="4"/>
      <c r="D1682" s="6"/>
      <c r="E1682" s="3"/>
      <c r="F1682" s="8"/>
      <c r="G1682" s="8"/>
      <c r="H1682" s="93"/>
    </row>
    <row r="1683" spans="2:8" s="42" customFormat="1" ht="15" x14ac:dyDescent="0.25">
      <c r="B1683" s="4"/>
      <c r="C1683" s="4"/>
      <c r="D1683" s="6"/>
      <c r="E1683" s="3"/>
      <c r="F1683" s="8"/>
      <c r="G1683" s="8"/>
      <c r="H1683" s="93"/>
    </row>
    <row r="1684" spans="2:8" s="42" customFormat="1" ht="15" x14ac:dyDescent="0.25">
      <c r="B1684" s="4"/>
      <c r="C1684" s="4"/>
      <c r="D1684" s="6"/>
      <c r="E1684" s="3"/>
      <c r="F1684" s="8"/>
      <c r="G1684" s="8"/>
      <c r="H1684" s="93"/>
    </row>
    <row r="1685" spans="2:8" s="42" customFormat="1" ht="15" x14ac:dyDescent="0.25">
      <c r="B1685" s="4"/>
      <c r="C1685" s="4"/>
      <c r="D1685" s="6"/>
      <c r="E1685" s="3"/>
      <c r="F1685" s="8"/>
      <c r="G1685" s="8"/>
      <c r="H1685" s="93"/>
    </row>
    <row r="1686" spans="2:8" s="42" customFormat="1" ht="15" x14ac:dyDescent="0.25">
      <c r="B1686" s="4"/>
      <c r="C1686" s="4"/>
      <c r="D1686" s="6"/>
      <c r="E1686" s="3"/>
      <c r="F1686" s="8"/>
      <c r="G1686" s="8"/>
      <c r="H1686" s="93"/>
    </row>
    <row r="1687" spans="2:8" s="42" customFormat="1" ht="15" x14ac:dyDescent="0.25">
      <c r="B1687" s="4"/>
      <c r="C1687" s="4"/>
      <c r="D1687" s="6"/>
      <c r="E1687" s="3"/>
      <c r="F1687" s="8"/>
      <c r="G1687" s="8"/>
      <c r="H1687" s="93"/>
    </row>
    <row r="1688" spans="2:8" s="42" customFormat="1" ht="15" x14ac:dyDescent="0.25">
      <c r="B1688" s="4"/>
      <c r="C1688" s="4"/>
      <c r="D1688" s="6"/>
      <c r="E1688" s="3"/>
      <c r="F1688" s="8"/>
      <c r="G1688" s="8"/>
      <c r="H1688" s="93"/>
    </row>
    <row r="1689" spans="2:8" s="42" customFormat="1" ht="15" x14ac:dyDescent="0.25">
      <c r="B1689" s="4"/>
      <c r="C1689" s="4"/>
      <c r="D1689" s="6"/>
      <c r="E1689" s="3"/>
      <c r="F1689" s="8"/>
      <c r="G1689" s="8"/>
      <c r="H1689" s="93"/>
    </row>
    <row r="1690" spans="2:8" s="42" customFormat="1" ht="15" x14ac:dyDescent="0.25">
      <c r="B1690" s="4"/>
      <c r="C1690" s="4"/>
      <c r="D1690" s="6"/>
      <c r="E1690" s="3"/>
      <c r="F1690" s="8"/>
      <c r="G1690" s="8"/>
      <c r="H1690" s="93"/>
    </row>
    <row r="1691" spans="2:8" s="42" customFormat="1" ht="15" x14ac:dyDescent="0.25">
      <c r="B1691" s="4"/>
      <c r="C1691" s="4"/>
      <c r="D1691" s="6"/>
      <c r="E1691" s="3"/>
      <c r="F1691" s="8"/>
      <c r="G1691" s="8"/>
      <c r="H1691" s="93"/>
    </row>
    <row r="1692" spans="2:8" s="42" customFormat="1" ht="15" x14ac:dyDescent="0.25">
      <c r="B1692" s="4"/>
      <c r="C1692" s="4"/>
      <c r="D1692" s="6"/>
      <c r="E1692" s="3"/>
      <c r="F1692" s="8"/>
      <c r="G1692" s="8"/>
      <c r="H1692" s="93"/>
    </row>
    <row r="1693" spans="2:8" s="42" customFormat="1" ht="15" x14ac:dyDescent="0.25">
      <c r="B1693" s="4"/>
      <c r="C1693" s="4"/>
      <c r="D1693" s="6"/>
      <c r="E1693" s="3"/>
      <c r="F1693" s="8"/>
      <c r="G1693" s="8"/>
      <c r="H1693" s="93"/>
    </row>
    <row r="1694" spans="2:8" s="42" customFormat="1" ht="15" x14ac:dyDescent="0.25">
      <c r="B1694" s="4"/>
      <c r="C1694" s="4"/>
      <c r="D1694" s="6"/>
      <c r="E1694" s="3"/>
      <c r="F1694" s="8"/>
      <c r="G1694" s="8"/>
      <c r="H1694" s="93"/>
    </row>
    <row r="1695" spans="2:8" s="42" customFormat="1" ht="15" x14ac:dyDescent="0.25">
      <c r="B1695" s="4"/>
      <c r="C1695" s="4"/>
      <c r="D1695" s="6"/>
      <c r="E1695" s="3"/>
      <c r="F1695" s="8"/>
      <c r="G1695" s="8"/>
      <c r="H1695" s="93"/>
    </row>
    <row r="1696" spans="2:8" s="42" customFormat="1" ht="15" x14ac:dyDescent="0.25">
      <c r="B1696" s="4"/>
      <c r="C1696" s="4"/>
      <c r="D1696" s="6"/>
      <c r="E1696" s="3"/>
      <c r="F1696" s="8"/>
      <c r="G1696" s="8"/>
      <c r="H1696" s="93"/>
    </row>
    <row r="1697" spans="2:8" s="42" customFormat="1" ht="15" x14ac:dyDescent="0.25">
      <c r="B1697" s="4"/>
      <c r="C1697" s="4"/>
      <c r="D1697" s="6"/>
      <c r="E1697" s="3"/>
      <c r="F1697" s="8"/>
      <c r="G1697" s="8"/>
      <c r="H1697" s="93"/>
    </row>
    <row r="1698" spans="2:8" s="42" customFormat="1" ht="15" x14ac:dyDescent="0.25">
      <c r="B1698" s="4"/>
      <c r="C1698" s="4"/>
      <c r="D1698" s="6"/>
      <c r="E1698" s="3"/>
      <c r="F1698" s="8"/>
      <c r="G1698" s="8"/>
      <c r="H1698" s="93"/>
    </row>
    <row r="1699" spans="2:8" s="42" customFormat="1" ht="15" x14ac:dyDescent="0.25">
      <c r="B1699" s="4"/>
      <c r="C1699" s="4"/>
      <c r="D1699" s="6"/>
      <c r="E1699" s="3"/>
      <c r="F1699" s="8"/>
      <c r="G1699" s="8"/>
      <c r="H1699" s="93"/>
    </row>
    <row r="1700" spans="2:8" s="42" customFormat="1" ht="15" x14ac:dyDescent="0.25">
      <c r="B1700" s="4"/>
      <c r="C1700" s="4"/>
      <c r="D1700" s="6"/>
      <c r="E1700" s="3"/>
      <c r="F1700" s="8"/>
      <c r="G1700" s="8"/>
      <c r="H1700" s="93"/>
    </row>
    <row r="1701" spans="2:8" s="42" customFormat="1" ht="15" x14ac:dyDescent="0.25">
      <c r="B1701" s="4"/>
      <c r="C1701" s="4"/>
      <c r="D1701" s="6"/>
      <c r="E1701" s="3"/>
      <c r="F1701" s="8"/>
      <c r="G1701" s="8"/>
      <c r="H1701" s="93"/>
    </row>
    <row r="1702" spans="2:8" s="42" customFormat="1" ht="15" x14ac:dyDescent="0.25">
      <c r="B1702" s="4"/>
      <c r="C1702" s="4"/>
      <c r="D1702" s="6"/>
      <c r="E1702" s="3"/>
      <c r="F1702" s="8"/>
      <c r="G1702" s="8"/>
      <c r="H1702" s="93"/>
    </row>
    <row r="1703" spans="2:8" s="42" customFormat="1" ht="15" x14ac:dyDescent="0.25">
      <c r="B1703" s="4"/>
      <c r="C1703" s="4"/>
      <c r="D1703" s="6"/>
      <c r="E1703" s="3"/>
      <c r="F1703" s="8"/>
      <c r="G1703" s="8"/>
      <c r="H1703" s="93"/>
    </row>
    <row r="1704" spans="2:8" s="42" customFormat="1" ht="15" x14ac:dyDescent="0.25">
      <c r="B1704" s="4"/>
      <c r="C1704" s="4"/>
      <c r="D1704" s="6"/>
      <c r="E1704" s="3"/>
      <c r="F1704" s="8"/>
      <c r="G1704" s="8"/>
      <c r="H1704" s="93"/>
    </row>
    <row r="1705" spans="2:8" s="42" customFormat="1" ht="15" x14ac:dyDescent="0.25">
      <c r="B1705" s="4"/>
      <c r="C1705" s="4"/>
      <c r="D1705" s="6"/>
      <c r="E1705" s="3"/>
      <c r="F1705" s="8"/>
      <c r="G1705" s="8"/>
      <c r="H1705" s="93"/>
    </row>
    <row r="1706" spans="2:8" s="42" customFormat="1" ht="15" x14ac:dyDescent="0.25">
      <c r="B1706" s="4"/>
      <c r="C1706" s="4"/>
      <c r="D1706" s="6"/>
      <c r="E1706" s="3"/>
      <c r="F1706" s="8"/>
      <c r="G1706" s="8"/>
      <c r="H1706" s="93"/>
    </row>
    <row r="1707" spans="2:8" s="42" customFormat="1" ht="15" x14ac:dyDescent="0.25">
      <c r="B1707" s="4"/>
      <c r="C1707" s="4"/>
      <c r="D1707" s="6"/>
      <c r="E1707" s="3"/>
      <c r="F1707" s="8"/>
      <c r="G1707" s="8"/>
      <c r="H1707" s="93"/>
    </row>
    <row r="1708" spans="2:8" s="42" customFormat="1" ht="15" x14ac:dyDescent="0.25">
      <c r="B1708" s="4"/>
      <c r="C1708" s="4"/>
      <c r="D1708" s="6"/>
      <c r="E1708" s="3"/>
      <c r="F1708" s="8"/>
      <c r="G1708" s="8"/>
      <c r="H1708" s="93"/>
    </row>
    <row r="1709" spans="2:8" s="42" customFormat="1" ht="15" x14ac:dyDescent="0.25">
      <c r="B1709" s="4"/>
      <c r="C1709" s="4"/>
      <c r="D1709" s="6"/>
      <c r="E1709" s="3"/>
      <c r="F1709" s="8"/>
      <c r="G1709" s="8"/>
      <c r="H1709" s="93"/>
    </row>
    <row r="1710" spans="2:8" s="42" customFormat="1" ht="15" x14ac:dyDescent="0.25">
      <c r="B1710" s="4"/>
      <c r="C1710" s="4"/>
      <c r="D1710" s="6"/>
      <c r="E1710" s="3"/>
      <c r="F1710" s="8"/>
      <c r="G1710" s="8"/>
      <c r="H1710" s="93"/>
    </row>
    <row r="1711" spans="2:8" s="42" customFormat="1" ht="15" x14ac:dyDescent="0.25">
      <c r="B1711" s="4"/>
      <c r="C1711" s="4"/>
      <c r="D1711" s="6"/>
      <c r="E1711" s="3"/>
      <c r="F1711" s="8"/>
      <c r="G1711" s="8"/>
      <c r="H1711" s="93"/>
    </row>
    <row r="1712" spans="2:8" s="42" customFormat="1" ht="15" x14ac:dyDescent="0.25">
      <c r="B1712" s="4"/>
      <c r="C1712" s="4"/>
      <c r="D1712" s="6"/>
      <c r="E1712" s="3"/>
      <c r="F1712" s="8"/>
      <c r="G1712" s="8"/>
      <c r="H1712" s="93"/>
    </row>
    <row r="1713" spans="1:8" s="42" customFormat="1" ht="15" x14ac:dyDescent="0.25">
      <c r="B1713" s="4"/>
      <c r="C1713" s="4"/>
      <c r="D1713" s="6"/>
      <c r="E1713" s="3"/>
      <c r="F1713" s="8"/>
      <c r="G1713" s="8"/>
      <c r="H1713" s="93"/>
    </row>
    <row r="1714" spans="1:8" ht="15" x14ac:dyDescent="0.25">
      <c r="A1714" s="42"/>
    </row>
    <row r="1715" spans="1:8" ht="15" x14ac:dyDescent="0.25">
      <c r="A1715" s="42"/>
    </row>
    <row r="1716" spans="1:8" ht="15" x14ac:dyDescent="0.25">
      <c r="A1716" s="42"/>
    </row>
  </sheetData>
  <mergeCells count="812">
    <mergeCell ref="F1659:G1659"/>
    <mergeCell ref="F1660:G1660"/>
    <mergeCell ref="B121:C122"/>
    <mergeCell ref="B137:C138"/>
    <mergeCell ref="B72:C72"/>
    <mergeCell ref="F437:G437"/>
    <mergeCell ref="F438:G438"/>
    <mergeCell ref="F432:G432"/>
    <mergeCell ref="B1616:C1647"/>
    <mergeCell ref="B934:C934"/>
    <mergeCell ref="B608:C608"/>
    <mergeCell ref="B562:C562"/>
    <mergeCell ref="F485:G485"/>
    <mergeCell ref="F1646:G1646"/>
    <mergeCell ref="F1641:G1641"/>
    <mergeCell ref="F1644:G1644"/>
    <mergeCell ref="F1642:G1642"/>
    <mergeCell ref="F1645:G1645"/>
    <mergeCell ref="F1621:G1621"/>
    <mergeCell ref="F1640:G1640"/>
    <mergeCell ref="F1631:G1631"/>
    <mergeCell ref="B1279:C1354"/>
    <mergeCell ref="B1418:C1538"/>
    <mergeCell ref="B1276:H1276"/>
    <mergeCell ref="B1356:C1385"/>
    <mergeCell ref="D1277:G1277"/>
    <mergeCell ref="B1540:C1554"/>
    <mergeCell ref="F1272:G1272"/>
    <mergeCell ref="B1231:C1246"/>
    <mergeCell ref="F1243:G1243"/>
    <mergeCell ref="F488:G488"/>
    <mergeCell ref="F460:G460"/>
    <mergeCell ref="F487:G487"/>
    <mergeCell ref="F479:G479"/>
    <mergeCell ref="F480:G480"/>
    <mergeCell ref="F486:G486"/>
    <mergeCell ref="F1253:G1253"/>
    <mergeCell ref="F1254:G1254"/>
    <mergeCell ref="F1266:G1266"/>
    <mergeCell ref="F1262:G1262"/>
    <mergeCell ref="F1264:G1264"/>
    <mergeCell ref="F1265:G1265"/>
    <mergeCell ref="B1267:C1267"/>
    <mergeCell ref="D1269:G1269"/>
    <mergeCell ref="F1241:G1241"/>
    <mergeCell ref="F1274:G1274"/>
    <mergeCell ref="F1240:G1240"/>
    <mergeCell ref="F1267:G1267"/>
    <mergeCell ref="F455:G455"/>
    <mergeCell ref="F493:G493"/>
    <mergeCell ref="B1268:H1268"/>
    <mergeCell ref="F1630:G1630"/>
    <mergeCell ref="F1632:G1632"/>
    <mergeCell ref="F1634:G1634"/>
    <mergeCell ref="F1643:G1643"/>
    <mergeCell ref="F1615:G1615"/>
    <mergeCell ref="F1616:G1616"/>
    <mergeCell ref="F1617:G1617"/>
    <mergeCell ref="F1618:G1618"/>
    <mergeCell ref="F1627:G1627"/>
    <mergeCell ref="F1622:G1622"/>
    <mergeCell ref="F1624:G1624"/>
    <mergeCell ref="F1626:G1626"/>
    <mergeCell ref="F1625:G1625"/>
    <mergeCell ref="F1623:G1623"/>
    <mergeCell ref="F1239:G1239"/>
    <mergeCell ref="B1275:C1275"/>
    <mergeCell ref="B1271:C1271"/>
    <mergeCell ref="F1258:G1258"/>
    <mergeCell ref="F1255:G1255"/>
    <mergeCell ref="F1251:G1251"/>
    <mergeCell ref="F1252:G1252"/>
    <mergeCell ref="I1612:J1612"/>
    <mergeCell ref="I1613:J1613"/>
    <mergeCell ref="I1614:J1614"/>
    <mergeCell ref="B1589:C1593"/>
    <mergeCell ref="I1599:J1599"/>
    <mergeCell ref="I1600:J1600"/>
    <mergeCell ref="I1601:J1601"/>
    <mergeCell ref="I1602:J1602"/>
    <mergeCell ref="I1603:J1603"/>
    <mergeCell ref="I1604:J1604"/>
    <mergeCell ref="I1605:J1605"/>
    <mergeCell ref="I1606:J1606"/>
    <mergeCell ref="F1595:G1595"/>
    <mergeCell ref="I1607:J1607"/>
    <mergeCell ref="I1608:J1608"/>
    <mergeCell ref="I1609:J1609"/>
    <mergeCell ref="I1610:J1610"/>
    <mergeCell ref="I1611:J1611"/>
    <mergeCell ref="B1595:C1597"/>
    <mergeCell ref="B1599:C1614"/>
    <mergeCell ref="F1596:G1596"/>
    <mergeCell ref="F448:G448"/>
    <mergeCell ref="F441:G441"/>
    <mergeCell ref="F445:G445"/>
    <mergeCell ref="F446:G446"/>
    <mergeCell ref="F433:G433"/>
    <mergeCell ref="F420:G420"/>
    <mergeCell ref="F410:G410"/>
    <mergeCell ref="F434:G434"/>
    <mergeCell ref="F435:G435"/>
    <mergeCell ref="F436:G436"/>
    <mergeCell ref="F426:G426"/>
    <mergeCell ref="F424:G424"/>
    <mergeCell ref="F419:G419"/>
    <mergeCell ref="F411:G411"/>
    <mergeCell ref="F412:G412"/>
    <mergeCell ref="B399:C411"/>
    <mergeCell ref="F399:G399"/>
    <mergeCell ref="F476:G476"/>
    <mergeCell ref="F483:G483"/>
    <mergeCell ref="F454:G454"/>
    <mergeCell ref="F456:G456"/>
    <mergeCell ref="F457:G457"/>
    <mergeCell ref="F464:G464"/>
    <mergeCell ref="F481:G481"/>
    <mergeCell ref="F468:G468"/>
    <mergeCell ref="F467:G467"/>
    <mergeCell ref="F482:G482"/>
    <mergeCell ref="F406:G406"/>
    <mergeCell ref="F400:G400"/>
    <mergeCell ref="F409:G409"/>
    <mergeCell ref="F439:G439"/>
    <mergeCell ref="F429:G429"/>
    <mergeCell ref="F450:G450"/>
    <mergeCell ref="F422:G422"/>
    <mergeCell ref="F421:G421"/>
    <mergeCell ref="F413:G413"/>
    <mergeCell ref="F423:G423"/>
    <mergeCell ref="F440:G440"/>
    <mergeCell ref="F444:G444"/>
    <mergeCell ref="F1271:G1271"/>
    <mergeCell ref="B1273:C1273"/>
    <mergeCell ref="F1273:G1273"/>
    <mergeCell ref="F1275:G1275"/>
    <mergeCell ref="F876:G876"/>
    <mergeCell ref="F873:G873"/>
    <mergeCell ref="F874:G874"/>
    <mergeCell ref="B878:H878"/>
    <mergeCell ref="D879:G879"/>
    <mergeCell ref="F875:G875"/>
    <mergeCell ref="B870:C874"/>
    <mergeCell ref="F1249:G1249"/>
    <mergeCell ref="F1220:G1220"/>
    <mergeCell ref="B1208:C1220"/>
    <mergeCell ref="B1181:C1182"/>
    <mergeCell ref="D1140:G1140"/>
    <mergeCell ref="F1208:G1208"/>
    <mergeCell ref="F1248:G1248"/>
    <mergeCell ref="F1210:G1210"/>
    <mergeCell ref="F1232:G1232"/>
    <mergeCell ref="F1246:G1246"/>
    <mergeCell ref="B1248:C1265"/>
    <mergeCell ref="F1260:G1260"/>
    <mergeCell ref="F871:G871"/>
    <mergeCell ref="B927:C928"/>
    <mergeCell ref="B925:C925"/>
    <mergeCell ref="B930:C932"/>
    <mergeCell ref="B914:C914"/>
    <mergeCell ref="B936:C936"/>
    <mergeCell ref="B701:H701"/>
    <mergeCell ref="D702:G702"/>
    <mergeCell ref="D820:G820"/>
    <mergeCell ref="B761:C798"/>
    <mergeCell ref="D862:G862"/>
    <mergeCell ref="B854:C858"/>
    <mergeCell ref="F866:G866"/>
    <mergeCell ref="F858:G858"/>
    <mergeCell ref="F856:G856"/>
    <mergeCell ref="F857:G857"/>
    <mergeCell ref="F872:G872"/>
    <mergeCell ref="B867:C868"/>
    <mergeCell ref="B836:C838"/>
    <mergeCell ref="F853:G853"/>
    <mergeCell ref="B826:C828"/>
    <mergeCell ref="B819:H819"/>
    <mergeCell ref="D834:G834"/>
    <mergeCell ref="F854:G854"/>
    <mergeCell ref="B822:C824"/>
    <mergeCell ref="F877:G877"/>
    <mergeCell ref="F863:G863"/>
    <mergeCell ref="B864:C865"/>
    <mergeCell ref="F864:G864"/>
    <mergeCell ref="F502:G502"/>
    <mergeCell ref="F501:G501"/>
    <mergeCell ref="F571:G571"/>
    <mergeCell ref="F569:G569"/>
    <mergeCell ref="F553:G553"/>
    <mergeCell ref="F554:G554"/>
    <mergeCell ref="F509:G509"/>
    <mergeCell ref="F545:G545"/>
    <mergeCell ref="F543:G543"/>
    <mergeCell ref="F542:G542"/>
    <mergeCell ref="F530:G530"/>
    <mergeCell ref="F527:G527"/>
    <mergeCell ref="F510:G510"/>
    <mergeCell ref="F521:G521"/>
    <mergeCell ref="F513:G513"/>
    <mergeCell ref="F515:G515"/>
    <mergeCell ref="F519:G519"/>
    <mergeCell ref="F535:G535"/>
    <mergeCell ref="F532:G532"/>
    <mergeCell ref="F534:G534"/>
    <mergeCell ref="B295:C295"/>
    <mergeCell ref="F295:G295"/>
    <mergeCell ref="F465:G465"/>
    <mergeCell ref="F451:G451"/>
    <mergeCell ref="B546:C546"/>
    <mergeCell ref="F546:G546"/>
    <mergeCell ref="F396:G396"/>
    <mergeCell ref="F417:G417"/>
    <mergeCell ref="B515:C518"/>
    <mergeCell ref="F431:G431"/>
    <mergeCell ref="F447:G447"/>
    <mergeCell ref="F452:G452"/>
    <mergeCell ref="F496:G496"/>
    <mergeCell ref="F495:G495"/>
    <mergeCell ref="F489:G489"/>
    <mergeCell ref="F484:G484"/>
    <mergeCell ref="F491:G491"/>
    <mergeCell ref="F492:G492"/>
    <mergeCell ref="F506:G506"/>
    <mergeCell ref="F507:G507"/>
    <mergeCell ref="F517:G517"/>
    <mergeCell ref="F523:G523"/>
    <mergeCell ref="F525:G525"/>
    <mergeCell ref="F516:G516"/>
    <mergeCell ref="B293:C293"/>
    <mergeCell ref="B289:C289"/>
    <mergeCell ref="F319:G319"/>
    <mergeCell ref="F320:G320"/>
    <mergeCell ref="F322:G322"/>
    <mergeCell ref="F308:G308"/>
    <mergeCell ref="F316:G316"/>
    <mergeCell ref="F318:G318"/>
    <mergeCell ref="F430:G430"/>
    <mergeCell ref="F427:G427"/>
    <mergeCell ref="F428:G428"/>
    <mergeCell ref="F387:G387"/>
    <mergeCell ref="F395:G395"/>
    <mergeCell ref="F416:G416"/>
    <mergeCell ref="F401:G401"/>
    <mergeCell ref="F404:G404"/>
    <mergeCell ref="F425:G425"/>
    <mergeCell ref="F362:G362"/>
    <mergeCell ref="B363:C363"/>
    <mergeCell ref="F363:G363"/>
    <mergeCell ref="F394:G394"/>
    <mergeCell ref="F335:G335"/>
    <mergeCell ref="F337:G337"/>
    <mergeCell ref="F341:G341"/>
    <mergeCell ref="F52:G52"/>
    <mergeCell ref="F62:G62"/>
    <mergeCell ref="F310:G310"/>
    <mergeCell ref="F301:G301"/>
    <mergeCell ref="F296:G296"/>
    <mergeCell ref="F290:G290"/>
    <mergeCell ref="F292:G292"/>
    <mergeCell ref="F289:G289"/>
    <mergeCell ref="F291:G291"/>
    <mergeCell ref="F60:G60"/>
    <mergeCell ref="F63:G63"/>
    <mergeCell ref="D275:G275"/>
    <mergeCell ref="D74:G74"/>
    <mergeCell ref="B100:H100"/>
    <mergeCell ref="B52:C53"/>
    <mergeCell ref="B131:C132"/>
    <mergeCell ref="F307:G307"/>
    <mergeCell ref="F284:G284"/>
    <mergeCell ref="F288:G288"/>
    <mergeCell ref="F279:G279"/>
    <mergeCell ref="B283:C283"/>
    <mergeCell ref="F282:G282"/>
    <mergeCell ref="B244:C259"/>
    <mergeCell ref="B176:C198"/>
    <mergeCell ref="B200:C220"/>
    <mergeCell ref="B222:C242"/>
    <mergeCell ref="B261:C273"/>
    <mergeCell ref="F131:G131"/>
    <mergeCell ref="B140:C141"/>
    <mergeCell ref="B149:C151"/>
    <mergeCell ref="D143:G143"/>
    <mergeCell ref="B281:C281"/>
    <mergeCell ref="F278:G278"/>
    <mergeCell ref="F53:G53"/>
    <mergeCell ref="F55:G55"/>
    <mergeCell ref="F56:G56"/>
    <mergeCell ref="F64:G64"/>
    <mergeCell ref="F277:G277"/>
    <mergeCell ref="B65:C66"/>
    <mergeCell ref="D126:G126"/>
    <mergeCell ref="B126:C126"/>
    <mergeCell ref="F276:G276"/>
    <mergeCell ref="B112:C113"/>
    <mergeCell ref="B134:C135"/>
    <mergeCell ref="F132:G132"/>
    <mergeCell ref="B115:C116"/>
    <mergeCell ref="B118:C119"/>
    <mergeCell ref="B124:C125"/>
    <mergeCell ref="B142:H142"/>
    <mergeCell ref="B153:C174"/>
    <mergeCell ref="F54:G54"/>
    <mergeCell ref="B274:H274"/>
    <mergeCell ref="F130:G130"/>
    <mergeCell ref="F59:G59"/>
    <mergeCell ref="B145:C147"/>
    <mergeCell ref="F61:G61"/>
    <mergeCell ref="B60:C63"/>
    <mergeCell ref="F65:G65"/>
    <mergeCell ref="F66:G66"/>
    <mergeCell ref="B108:H108"/>
    <mergeCell ref="B103:C104"/>
    <mergeCell ref="B110:C110"/>
    <mergeCell ref="F107:G107"/>
    <mergeCell ref="B106:C107"/>
    <mergeCell ref="F106:G106"/>
    <mergeCell ref="B70:C70"/>
    <mergeCell ref="D109:H109"/>
    <mergeCell ref="D101:G101"/>
    <mergeCell ref="D110:G110"/>
    <mergeCell ref="B77:C99"/>
    <mergeCell ref="F75:G75"/>
    <mergeCell ref="F105:G105"/>
    <mergeCell ref="B73:H73"/>
    <mergeCell ref="B68:C68"/>
    <mergeCell ref="B1:H1"/>
    <mergeCell ref="B2:H2"/>
    <mergeCell ref="B4:H4"/>
    <mergeCell ref="B11:H11"/>
    <mergeCell ref="F51:G51"/>
    <mergeCell ref="D12:G12"/>
    <mergeCell ref="D3:G3"/>
    <mergeCell ref="B9:H9"/>
    <mergeCell ref="B32:C33"/>
    <mergeCell ref="B5:H5"/>
    <mergeCell ref="F10:H10"/>
    <mergeCell ref="B27:C30"/>
    <mergeCell ref="B20:C25"/>
    <mergeCell ref="B42:C47"/>
    <mergeCell ref="B14:C18"/>
    <mergeCell ref="B49:C50"/>
    <mergeCell ref="B7:H7"/>
    <mergeCell ref="B6:H6"/>
    <mergeCell ref="D8:F8"/>
    <mergeCell ref="B287:C287"/>
    <mergeCell ref="B327:C327"/>
    <mergeCell ref="F528:G528"/>
    <mergeCell ref="F490:G490"/>
    <mergeCell ref="F514:G514"/>
    <mergeCell ref="F522:G522"/>
    <mergeCell ref="F503:G503"/>
    <mergeCell ref="F508:G508"/>
    <mergeCell ref="F511:G511"/>
    <mergeCell ref="F512:G512"/>
    <mergeCell ref="F505:G505"/>
    <mergeCell ref="F520:G520"/>
    <mergeCell ref="F499:G499"/>
    <mergeCell ref="F500:G500"/>
    <mergeCell ref="F498:G498"/>
    <mergeCell ref="F497:G497"/>
    <mergeCell ref="F494:G494"/>
    <mergeCell ref="F379:G379"/>
    <mergeCell ref="F357:G357"/>
    <mergeCell ref="F359:G359"/>
    <mergeCell ref="F350:G350"/>
    <mergeCell ref="F471:G471"/>
    <mergeCell ref="F461:G461"/>
    <mergeCell ref="F415:G415"/>
    <mergeCell ref="F285:G285"/>
    <mergeCell ref="F303:G303"/>
    <mergeCell ref="F293:G293"/>
    <mergeCell ref="F305:G305"/>
    <mergeCell ref="F280:G280"/>
    <mergeCell ref="F281:G281"/>
    <mergeCell ref="F356:G356"/>
    <mergeCell ref="F324:G324"/>
    <mergeCell ref="F304:G304"/>
    <mergeCell ref="F297:G297"/>
    <mergeCell ref="F309:G309"/>
    <mergeCell ref="F286:G286"/>
    <mergeCell ref="F283:G283"/>
    <mergeCell ref="F332:G332"/>
    <mergeCell ref="F331:G331"/>
    <mergeCell ref="F333:G333"/>
    <mergeCell ref="F329:G329"/>
    <mergeCell ref="F321:G321"/>
    <mergeCell ref="F323:G323"/>
    <mergeCell ref="F346:G346"/>
    <mergeCell ref="F340:G340"/>
    <mergeCell ref="F300:G300"/>
    <mergeCell ref="F287:G287"/>
    <mergeCell ref="F294:G294"/>
    <mergeCell ref="F531:G531"/>
    <mergeCell ref="F533:G533"/>
    <mergeCell ref="F526:G526"/>
    <mergeCell ref="F325:G325"/>
    <mergeCell ref="F327:G327"/>
    <mergeCell ref="F326:G326"/>
    <mergeCell ref="D365:G365"/>
    <mergeCell ref="F360:G360"/>
    <mergeCell ref="F361:G361"/>
    <mergeCell ref="F368:G368"/>
    <mergeCell ref="F347:G347"/>
    <mergeCell ref="F348:G348"/>
    <mergeCell ref="F358:G358"/>
    <mergeCell ref="F366:G366"/>
    <mergeCell ref="B364:H364"/>
    <mergeCell ref="B367:C368"/>
    <mergeCell ref="B359:C359"/>
    <mergeCell ref="F355:G355"/>
    <mergeCell ref="F336:G336"/>
    <mergeCell ref="B353:C353"/>
    <mergeCell ref="B351:C351"/>
    <mergeCell ref="F343:G343"/>
    <mergeCell ref="F345:G345"/>
    <mergeCell ref="F393:G393"/>
    <mergeCell ref="F407:G407"/>
    <mergeCell ref="F408:G408"/>
    <mergeCell ref="F338:G338"/>
    <mergeCell ref="F339:G339"/>
    <mergeCell ref="F389:G389"/>
    <mergeCell ref="F390:G390"/>
    <mergeCell ref="F388:G388"/>
    <mergeCell ref="F391:G391"/>
    <mergeCell ref="F398:G398"/>
    <mergeCell ref="F402:G402"/>
    <mergeCell ref="F392:G392"/>
    <mergeCell ref="F405:G405"/>
    <mergeCell ref="F377:G377"/>
    <mergeCell ref="F342:G342"/>
    <mergeCell ref="F352:G352"/>
    <mergeCell ref="F354:G354"/>
    <mergeCell ref="F384:G384"/>
    <mergeCell ref="F385:G385"/>
    <mergeCell ref="F382:G382"/>
    <mergeCell ref="F403:G403"/>
    <mergeCell ref="B370:C371"/>
    <mergeCell ref="B373:C376"/>
    <mergeCell ref="B378:C381"/>
    <mergeCell ref="B383:C388"/>
    <mergeCell ref="F369:G369"/>
    <mergeCell ref="F371:G371"/>
    <mergeCell ref="F370:G370"/>
    <mergeCell ref="F383:G383"/>
    <mergeCell ref="F378:G378"/>
    <mergeCell ref="F380:G380"/>
    <mergeCell ref="F381:G381"/>
    <mergeCell ref="F376:G376"/>
    <mergeCell ref="F373:G373"/>
    <mergeCell ref="F386:G386"/>
    <mergeCell ref="F372:G372"/>
    <mergeCell ref="F374:G374"/>
    <mergeCell ref="F375:G375"/>
    <mergeCell ref="B323:C323"/>
    <mergeCell ref="B319:C319"/>
    <mergeCell ref="F328:G328"/>
    <mergeCell ref="B321:C321"/>
    <mergeCell ref="B333:C333"/>
    <mergeCell ref="B335:C335"/>
    <mergeCell ref="F334:G334"/>
    <mergeCell ref="F367:G367"/>
    <mergeCell ref="B329:C329"/>
    <mergeCell ref="B357:C357"/>
    <mergeCell ref="B355:C355"/>
    <mergeCell ref="B331:C331"/>
    <mergeCell ref="B325:C325"/>
    <mergeCell ref="F330:G330"/>
    <mergeCell ref="F349:G349"/>
    <mergeCell ref="F351:G351"/>
    <mergeCell ref="B345:C345"/>
    <mergeCell ref="F344:G344"/>
    <mergeCell ref="B343:C343"/>
    <mergeCell ref="B349:C349"/>
    <mergeCell ref="B337:C337"/>
    <mergeCell ref="B339:C339"/>
    <mergeCell ref="B341:C341"/>
    <mergeCell ref="F353:G353"/>
    <mergeCell ref="B297:C297"/>
    <mergeCell ref="B315:C315"/>
    <mergeCell ref="B313:C313"/>
    <mergeCell ref="B307:C307"/>
    <mergeCell ref="F313:G313"/>
    <mergeCell ref="F314:G314"/>
    <mergeCell ref="F317:G317"/>
    <mergeCell ref="B305:C305"/>
    <mergeCell ref="F312:G312"/>
    <mergeCell ref="F298:G298"/>
    <mergeCell ref="B299:C299"/>
    <mergeCell ref="F299:G299"/>
    <mergeCell ref="F311:G311"/>
    <mergeCell ref="F315:G315"/>
    <mergeCell ref="F306:G306"/>
    <mergeCell ref="B317:C317"/>
    <mergeCell ref="B311:C311"/>
    <mergeCell ref="B309:C309"/>
    <mergeCell ref="F302:G302"/>
    <mergeCell ref="B303:C303"/>
    <mergeCell ref="B390:C397"/>
    <mergeCell ref="F397:G397"/>
    <mergeCell ref="F449:G449"/>
    <mergeCell ref="F442:G442"/>
    <mergeCell ref="F443:G443"/>
    <mergeCell ref="F478:G478"/>
    <mergeCell ref="F475:G475"/>
    <mergeCell ref="F477:G477"/>
    <mergeCell ref="F473:G473"/>
    <mergeCell ref="F474:G474"/>
    <mergeCell ref="F472:G472"/>
    <mergeCell ref="F470:G470"/>
    <mergeCell ref="F466:G466"/>
    <mergeCell ref="F458:G458"/>
    <mergeCell ref="F469:G469"/>
    <mergeCell ref="F453:G453"/>
    <mergeCell ref="F462:G462"/>
    <mergeCell ref="F463:G463"/>
    <mergeCell ref="B413:C417"/>
    <mergeCell ref="B419:C426"/>
    <mergeCell ref="B436:C441"/>
    <mergeCell ref="F414:G414"/>
    <mergeCell ref="F418:G418"/>
    <mergeCell ref="F459:G459"/>
    <mergeCell ref="B550:C550"/>
    <mergeCell ref="B548:C548"/>
    <mergeCell ref="B520:C520"/>
    <mergeCell ref="B556:C556"/>
    <mergeCell ref="B558:C558"/>
    <mergeCell ref="B560:C560"/>
    <mergeCell ref="F538:G538"/>
    <mergeCell ref="F574:G574"/>
    <mergeCell ref="F566:G566"/>
    <mergeCell ref="F568:G568"/>
    <mergeCell ref="F565:G565"/>
    <mergeCell ref="F572:G572"/>
    <mergeCell ref="F567:G567"/>
    <mergeCell ref="F561:G561"/>
    <mergeCell ref="F529:G529"/>
    <mergeCell ref="F551:G551"/>
    <mergeCell ref="F552:G552"/>
    <mergeCell ref="F536:G536"/>
    <mergeCell ref="F541:G541"/>
    <mergeCell ref="F537:G537"/>
    <mergeCell ref="F548:G548"/>
    <mergeCell ref="F549:G549"/>
    <mergeCell ref="F547:G547"/>
    <mergeCell ref="F540:G540"/>
    <mergeCell ref="F870:G870"/>
    <mergeCell ref="F848:G848"/>
    <mergeCell ref="F847:G847"/>
    <mergeCell ref="F845:G845"/>
    <mergeCell ref="F846:G846"/>
    <mergeCell ref="F855:G855"/>
    <mergeCell ref="F850:G850"/>
    <mergeCell ref="F867:G867"/>
    <mergeCell ref="F851:G851"/>
    <mergeCell ref="F849:G849"/>
    <mergeCell ref="B861:H861"/>
    <mergeCell ref="B833:H833"/>
    <mergeCell ref="F869:G869"/>
    <mergeCell ref="F655:G655"/>
    <mergeCell ref="F595:G595"/>
    <mergeCell ref="B593:C595"/>
    <mergeCell ref="B601:C601"/>
    <mergeCell ref="B690:C697"/>
    <mergeCell ref="D663:G663"/>
    <mergeCell ref="F843:G843"/>
    <mergeCell ref="B830:C832"/>
    <mergeCell ref="B699:C700"/>
    <mergeCell ref="F601:G601"/>
    <mergeCell ref="F610:G610"/>
    <mergeCell ref="B625:G625"/>
    <mergeCell ref="F596:G596"/>
    <mergeCell ref="F630:G630"/>
    <mergeCell ref="F629:G629"/>
    <mergeCell ref="F649:G649"/>
    <mergeCell ref="F650:G650"/>
    <mergeCell ref="F637:G637"/>
    <mergeCell ref="F865:G865"/>
    <mergeCell ref="B662:H662"/>
    <mergeCell ref="F656:G656"/>
    <mergeCell ref="F659:G659"/>
    <mergeCell ref="F556:G556"/>
    <mergeCell ref="F558:G558"/>
    <mergeCell ref="B612:C612"/>
    <mergeCell ref="B570:C570"/>
    <mergeCell ref="F579:G579"/>
    <mergeCell ref="F583:G583"/>
    <mergeCell ref="F581:G581"/>
    <mergeCell ref="F587:G587"/>
    <mergeCell ref="F844:G844"/>
    <mergeCell ref="B844:C852"/>
    <mergeCell ref="F852:G852"/>
    <mergeCell ref="B576:C576"/>
    <mergeCell ref="F563:G563"/>
    <mergeCell ref="F562:G562"/>
    <mergeCell ref="F609:G609"/>
    <mergeCell ref="B597:C597"/>
    <mergeCell ref="F597:G597"/>
    <mergeCell ref="F620:G620"/>
    <mergeCell ref="F632:G632"/>
    <mergeCell ref="B620:C620"/>
    <mergeCell ref="F614:G614"/>
    <mergeCell ref="F615:G615"/>
    <mergeCell ref="B616:C616"/>
    <mergeCell ref="F616:G616"/>
    <mergeCell ref="B618:C618"/>
    <mergeCell ref="F651:G651"/>
    <mergeCell ref="F652:G652"/>
    <mergeCell ref="F653:G653"/>
    <mergeCell ref="B589:C589"/>
    <mergeCell ref="B614:C614"/>
    <mergeCell ref="F584:G584"/>
    <mergeCell ref="F617:G617"/>
    <mergeCell ref="F618:G618"/>
    <mergeCell ref="F611:G611"/>
    <mergeCell ref="F589:G589"/>
    <mergeCell ref="F643:G643"/>
    <mergeCell ref="F635:G635"/>
    <mergeCell ref="F636:G636"/>
    <mergeCell ref="B627:C627"/>
    <mergeCell ref="F627:G627"/>
    <mergeCell ref="F660:G660"/>
    <mergeCell ref="B591:C591"/>
    <mergeCell ref="F644:G644"/>
    <mergeCell ref="F645:G645"/>
    <mergeCell ref="D639:G639"/>
    <mergeCell ref="F640:G640"/>
    <mergeCell ref="F600:G600"/>
    <mergeCell ref="F641:G641"/>
    <mergeCell ref="F642:G642"/>
    <mergeCell ref="F654:G654"/>
    <mergeCell ref="F634:G634"/>
    <mergeCell ref="F592:G592"/>
    <mergeCell ref="F647:G647"/>
    <mergeCell ref="B602:G602"/>
    <mergeCell ref="B599:C599"/>
    <mergeCell ref="B604:C604"/>
    <mergeCell ref="F604:G604"/>
    <mergeCell ref="F605:G605"/>
    <mergeCell ref="B606:C606"/>
    <mergeCell ref="F606:G606"/>
    <mergeCell ref="F593:G593"/>
    <mergeCell ref="F594:G594"/>
    <mergeCell ref="F599:G599"/>
    <mergeCell ref="F598:G598"/>
    <mergeCell ref="B55:C58"/>
    <mergeCell ref="B285:C285"/>
    <mergeCell ref="B876:C877"/>
    <mergeCell ref="B361:C361"/>
    <mergeCell ref="B347:C347"/>
    <mergeCell ref="B291:C291"/>
    <mergeCell ref="B301:C301"/>
    <mergeCell ref="F1270:G1270"/>
    <mergeCell ref="F1212:G1212"/>
    <mergeCell ref="F577:G577"/>
    <mergeCell ref="B1223:C1224"/>
    <mergeCell ref="B840:C842"/>
    <mergeCell ref="F1263:G1263"/>
    <mergeCell ref="F631:G631"/>
    <mergeCell ref="F576:G576"/>
    <mergeCell ref="F586:G586"/>
    <mergeCell ref="F524:G524"/>
    <mergeCell ref="B554:C554"/>
    <mergeCell ref="F661:G661"/>
    <mergeCell ref="F608:G608"/>
    <mergeCell ref="B473:C480"/>
    <mergeCell ref="F559:G559"/>
    <mergeCell ref="F557:G557"/>
    <mergeCell ref="B564:C564"/>
    <mergeCell ref="I5:J5"/>
    <mergeCell ref="D1229:G1229"/>
    <mergeCell ref="F1215:G1215"/>
    <mergeCell ref="F1230:G1230"/>
    <mergeCell ref="F1213:G1213"/>
    <mergeCell ref="F1221:G1221"/>
    <mergeCell ref="F1218:G1218"/>
    <mergeCell ref="F1222:G1222"/>
    <mergeCell ref="F1223:G1223"/>
    <mergeCell ref="F1224:G1224"/>
    <mergeCell ref="F1216:G1216"/>
    <mergeCell ref="F1217:G1217"/>
    <mergeCell ref="B638:H638"/>
    <mergeCell ref="F657:G657"/>
    <mergeCell ref="F658:G658"/>
    <mergeCell ref="D938:G938"/>
    <mergeCell ref="B578:C578"/>
    <mergeCell ref="B580:C580"/>
    <mergeCell ref="F57:G57"/>
    <mergeCell ref="F58:G58"/>
    <mergeCell ref="B1184:C1206"/>
    <mergeCell ref="F868:G868"/>
    <mergeCell ref="B1226:C1227"/>
    <mergeCell ref="B920:C923"/>
    <mergeCell ref="B1651:C1651"/>
    <mergeCell ref="B1556:C1556"/>
    <mergeCell ref="B1585:C1585"/>
    <mergeCell ref="B1587:C1587"/>
    <mergeCell ref="F1584:G1584"/>
    <mergeCell ref="F1594:G1594"/>
    <mergeCell ref="F1586:G1586"/>
    <mergeCell ref="B1582:C1583"/>
    <mergeCell ref="D1580:G1580"/>
    <mergeCell ref="F1637:G1637"/>
    <mergeCell ref="F1597:G1597"/>
    <mergeCell ref="F1587:G1587"/>
    <mergeCell ref="F1585:G1585"/>
    <mergeCell ref="F1619:G1619"/>
    <mergeCell ref="F1620:G1620"/>
    <mergeCell ref="F1635:G1635"/>
    <mergeCell ref="F1636:G1636"/>
    <mergeCell ref="F1638:G1638"/>
    <mergeCell ref="F1639:G1639"/>
    <mergeCell ref="B1579:H1579"/>
    <mergeCell ref="F1629:G1629"/>
    <mergeCell ref="F1647:G1647"/>
    <mergeCell ref="F1633:G1633"/>
    <mergeCell ref="F1628:G1628"/>
    <mergeCell ref="F1256:G1256"/>
    <mergeCell ref="F1257:G1257"/>
    <mergeCell ref="F1261:G1261"/>
    <mergeCell ref="B937:H937"/>
    <mergeCell ref="F1247:G1247"/>
    <mergeCell ref="F1234:G1234"/>
    <mergeCell ref="F1235:G1235"/>
    <mergeCell ref="F1238:G1238"/>
    <mergeCell ref="F1237:G1237"/>
    <mergeCell ref="F1219:G1219"/>
    <mergeCell ref="F1231:G1231"/>
    <mergeCell ref="F1211:G1211"/>
    <mergeCell ref="F1242:G1242"/>
    <mergeCell ref="F1236:G1236"/>
    <mergeCell ref="F1233:G1233"/>
    <mergeCell ref="F1250:G1250"/>
    <mergeCell ref="B1228:H1228"/>
    <mergeCell ref="F1209:G1209"/>
    <mergeCell ref="F1207:G1207"/>
    <mergeCell ref="B1142:C1164"/>
    <mergeCell ref="B1136:C1138"/>
    <mergeCell ref="F1244:G1244"/>
    <mergeCell ref="F1245:G1245"/>
    <mergeCell ref="B482:C486"/>
    <mergeCell ref="B428:C434"/>
    <mergeCell ref="B443:C455"/>
    <mergeCell ref="B457:C463"/>
    <mergeCell ref="B465:C465"/>
    <mergeCell ref="F550:G550"/>
    <mergeCell ref="B566:C566"/>
    <mergeCell ref="B568:C568"/>
    <mergeCell ref="F585:G585"/>
    <mergeCell ref="B488:C492"/>
    <mergeCell ref="B494:C494"/>
    <mergeCell ref="B496:C496"/>
    <mergeCell ref="B498:C498"/>
    <mergeCell ref="B543:C543"/>
    <mergeCell ref="F539:G539"/>
    <mergeCell ref="F518:G518"/>
    <mergeCell ref="B500:C513"/>
    <mergeCell ref="B544:G544"/>
    <mergeCell ref="F560:G560"/>
    <mergeCell ref="B574:C574"/>
    <mergeCell ref="F555:G555"/>
    <mergeCell ref="F580:G580"/>
    <mergeCell ref="B582:C582"/>
    <mergeCell ref="B584:C584"/>
    <mergeCell ref="B1558:C1567"/>
    <mergeCell ref="F570:G570"/>
    <mergeCell ref="F573:G573"/>
    <mergeCell ref="F588:G588"/>
    <mergeCell ref="F582:G582"/>
    <mergeCell ref="F1648:G1648"/>
    <mergeCell ref="F1649:G1649"/>
    <mergeCell ref="B1139:H1139"/>
    <mergeCell ref="F590:G590"/>
    <mergeCell ref="F591:G591"/>
    <mergeCell ref="F603:G603"/>
    <mergeCell ref="B988:C1035"/>
    <mergeCell ref="B1037:C1084"/>
    <mergeCell ref="F1581:G1581"/>
    <mergeCell ref="F1582:G1582"/>
    <mergeCell ref="F1583:G1583"/>
    <mergeCell ref="B940:C986"/>
    <mergeCell ref="F648:G648"/>
    <mergeCell ref="F619:G619"/>
    <mergeCell ref="B647:C647"/>
    <mergeCell ref="F633:G633"/>
    <mergeCell ref="F646:G646"/>
    <mergeCell ref="F1214:G1214"/>
    <mergeCell ref="F1259:G1259"/>
    <mergeCell ref="E1663:H1663"/>
    <mergeCell ref="B1569:C1578"/>
    <mergeCell ref="B128:C129"/>
    <mergeCell ref="F622:G622"/>
    <mergeCell ref="F623:G623"/>
    <mergeCell ref="B624:C624"/>
    <mergeCell ref="F624:G624"/>
    <mergeCell ref="B552:C552"/>
    <mergeCell ref="B572:C572"/>
    <mergeCell ref="F504:G504"/>
    <mergeCell ref="F575:G575"/>
    <mergeCell ref="F578:G578"/>
    <mergeCell ref="F564:G564"/>
    <mergeCell ref="F628:G628"/>
    <mergeCell ref="F612:G612"/>
    <mergeCell ref="F613:G613"/>
    <mergeCell ref="B586:C587"/>
    <mergeCell ref="B610:C610"/>
    <mergeCell ref="F621:G621"/>
    <mergeCell ref="B622:C622"/>
    <mergeCell ref="B916:C917"/>
    <mergeCell ref="B629:C629"/>
    <mergeCell ref="F607:G607"/>
    <mergeCell ref="F626:G626"/>
  </mergeCells>
  <phoneticPr fontId="7" type="noConversion"/>
  <conditionalFormatting sqref="D32 D705:D706 D65:D66 D70 D708 D1538:D1539 D42:D47 D55:D58 D60:D63 D855:D859 D861 D1382:D1383 D1413:D1417 D1519:D1521 D1421 D1479 D1493 D1497:D1498 D1541:D1555 D77:D91 D99 D841:D843 D95 D93 D72">
    <cfRule type="containsText" dxfId="294" priority="1041" operator="containsText" text="m2">
      <formula>NOT(ISERROR(SEARCH("m2",D32)))</formula>
    </cfRule>
  </conditionalFormatting>
  <conditionalFormatting sqref="D25">
    <cfRule type="containsText" dxfId="293" priority="1028" operator="containsText" text="m2">
      <formula>NOT(ISERROR(SEARCH("m2",D25)))</formula>
    </cfRule>
  </conditionalFormatting>
  <conditionalFormatting sqref="D14:D15 D17:D18">
    <cfRule type="containsText" dxfId="292" priority="1026" operator="containsText" text="m2">
      <formula>NOT(ISERROR(SEARCH("m2",D14)))</formula>
    </cfRule>
  </conditionalFormatting>
  <conditionalFormatting sqref="D26">
    <cfRule type="containsText" dxfId="291" priority="1025" operator="containsText" text="m2">
      <formula>NOT(ISERROR(SEARCH("m2",D26)))</formula>
    </cfRule>
  </conditionalFormatting>
  <conditionalFormatting sqref="D49:D50">
    <cfRule type="containsText" dxfId="290" priority="1017" operator="containsText" text="m2">
      <formula>NOT(ISERROR(SEARCH("m2",D49)))</formula>
    </cfRule>
  </conditionalFormatting>
  <conditionalFormatting sqref="D52:D53">
    <cfRule type="containsText" dxfId="289" priority="1013" operator="containsText" text="m2">
      <formula>NOT(ISERROR(SEARCH("m2",D52)))</formula>
    </cfRule>
  </conditionalFormatting>
  <conditionalFormatting sqref="D68">
    <cfRule type="containsText" dxfId="288" priority="1011" operator="containsText" text="m2">
      <formula>NOT(ISERROR(SEARCH("m2",D68)))</formula>
    </cfRule>
  </conditionalFormatting>
  <conditionalFormatting sqref="D941:D942">
    <cfRule type="containsText" dxfId="287" priority="960" operator="containsText" text="m2">
      <formula>NOT(ISERROR(SEARCH("m2",D941)))</formula>
    </cfRule>
  </conditionalFormatting>
  <conditionalFormatting sqref="D943">
    <cfRule type="containsText" dxfId="286" priority="959" operator="containsText" text="m2">
      <formula>NOT(ISERROR(SEARCH("m2",D943)))</formula>
    </cfRule>
  </conditionalFormatting>
  <conditionalFormatting sqref="D946 D949">
    <cfRule type="containsText" dxfId="285" priority="958" operator="containsText" text="m2">
      <formula>NOT(ISERROR(SEARCH("m2",D946)))</formula>
    </cfRule>
  </conditionalFormatting>
  <conditionalFormatting sqref="D951">
    <cfRule type="containsText" dxfId="284" priority="957" operator="containsText" text="m2">
      <formula>NOT(ISERROR(SEARCH("m2",D951)))</formula>
    </cfRule>
  </conditionalFormatting>
  <conditionalFormatting sqref="D333">
    <cfRule type="containsText" dxfId="283" priority="920" operator="containsText" text="m2">
      <formula>NOT(ISERROR(SEARCH("m2",D333)))</formula>
    </cfRule>
  </conditionalFormatting>
  <conditionalFormatting sqref="D335">
    <cfRule type="containsText" dxfId="282" priority="919" operator="containsText" text="m2">
      <formula>NOT(ISERROR(SEARCH("m2",D335)))</formula>
    </cfRule>
  </conditionalFormatting>
  <conditionalFormatting sqref="D1357:D1358">
    <cfRule type="containsText" dxfId="281" priority="908" operator="containsText" text="m2">
      <formula>NOT(ISERROR(SEARCH("m2",D1357)))</formula>
    </cfRule>
  </conditionalFormatting>
  <conditionalFormatting sqref="D1360">
    <cfRule type="containsText" dxfId="280" priority="893" operator="containsText" text="m2">
      <formula>NOT(ISERROR(SEARCH("m2",D1360)))</formula>
    </cfRule>
  </conditionalFormatting>
  <conditionalFormatting sqref="D1357:D1358">
    <cfRule type="containsText" dxfId="279" priority="905" operator="containsText" text="m2">
      <formula>NOT(ISERROR(SEARCH("m2",D1357)))</formula>
    </cfRule>
  </conditionalFormatting>
  <conditionalFormatting sqref="D289 D291 D293 D297 D305 D307 D309 D311 D313 D315 D317 D319 D321 D323 D325 D327 D337 D339 D341 D343 D345 D347 D349 D351 D353 D355 D357 D359 D361 D285 D281 D299 D301 D303 D363">
    <cfRule type="containsText" dxfId="278" priority="923" operator="containsText" text="m2">
      <formula>NOT(ISERROR(SEARCH("m2",D281)))</formula>
    </cfRule>
  </conditionalFormatting>
  <conditionalFormatting sqref="D329">
    <cfRule type="containsText" dxfId="277" priority="922" operator="containsText" text="m2">
      <formula>NOT(ISERROR(SEARCH("m2",D329)))</formula>
    </cfRule>
  </conditionalFormatting>
  <conditionalFormatting sqref="D331">
    <cfRule type="containsText" dxfId="276" priority="921" operator="containsText" text="m2">
      <formula>NOT(ISERROR(SEARCH("m2",D331)))</formula>
    </cfRule>
  </conditionalFormatting>
  <conditionalFormatting sqref="D1356">
    <cfRule type="containsText" dxfId="275" priority="909" operator="containsText" text="m2">
      <formula>NOT(ISERROR(SEARCH("m2",D1356)))</formula>
    </cfRule>
  </conditionalFormatting>
  <conditionalFormatting sqref="D1418">
    <cfRule type="containsText" dxfId="274" priority="903" operator="containsText" text="m2">
      <formula>NOT(ISERROR(SEARCH("m2",D1418)))</formula>
    </cfRule>
  </conditionalFormatting>
  <conditionalFormatting sqref="D1359">
    <cfRule type="containsText" dxfId="273" priority="894" operator="containsText" text="m2">
      <formula>NOT(ISERROR(SEARCH("m2",D1359)))</formula>
    </cfRule>
  </conditionalFormatting>
  <conditionalFormatting sqref="D1360">
    <cfRule type="containsText" dxfId="272" priority="892" operator="containsText" text="m2">
      <formula>NOT(ISERROR(SEARCH("m2",D1360)))</formula>
    </cfRule>
  </conditionalFormatting>
  <conditionalFormatting sqref="D1359">
    <cfRule type="containsText" dxfId="271" priority="891" operator="containsText" text="m2">
      <formula>NOT(ISERROR(SEARCH("m2",D1359)))</formula>
    </cfRule>
  </conditionalFormatting>
  <conditionalFormatting sqref="D1361">
    <cfRule type="containsText" dxfId="270" priority="826" operator="containsText" text="m2">
      <formula>NOT(ISERROR(SEARCH("m2",D1361)))</formula>
    </cfRule>
  </conditionalFormatting>
  <conditionalFormatting sqref="D1367">
    <cfRule type="containsText" dxfId="269" priority="701" operator="containsText" text="m2">
      <formula>NOT(ISERROR(SEARCH("m2",D1367)))</formula>
    </cfRule>
  </conditionalFormatting>
  <conditionalFormatting sqref="D1368 D1409 D1411">
    <cfRule type="containsText" dxfId="268" priority="700" operator="containsText" text="m2">
      <formula>NOT(ISERROR(SEARCH("m2",D1368)))</formula>
    </cfRule>
  </conditionalFormatting>
  <conditionalFormatting sqref="D1363">
    <cfRule type="containsText" dxfId="267" priority="770" operator="containsText" text="m2">
      <formula>NOT(ISERROR(SEARCH("m2",D1363)))</formula>
    </cfRule>
  </conditionalFormatting>
  <conditionalFormatting sqref="D1364">
    <cfRule type="containsText" dxfId="266" priority="766" operator="containsText" text="m2">
      <formula>NOT(ISERROR(SEARCH("m2",D1364)))</formula>
    </cfRule>
  </conditionalFormatting>
  <conditionalFormatting sqref="D1364">
    <cfRule type="containsText" dxfId="265" priority="763" operator="containsText" text="m2">
      <formula>NOT(ISERROR(SEARCH("m2",D1364)))</formula>
    </cfRule>
  </conditionalFormatting>
  <conditionalFormatting sqref="D1370">
    <cfRule type="containsText" dxfId="264" priority="652" operator="containsText" text="m2">
      <formula>NOT(ISERROR(SEARCH("m2",D1370)))</formula>
    </cfRule>
  </conditionalFormatting>
  <conditionalFormatting sqref="D1363">
    <cfRule type="containsText" dxfId="263" priority="767" operator="containsText" text="m2">
      <formula>NOT(ISERROR(SEARCH("m2",D1363)))</formula>
    </cfRule>
  </conditionalFormatting>
  <conditionalFormatting sqref="D1368 D1409 D1411">
    <cfRule type="containsText" dxfId="262" priority="699" operator="containsText" text="m2">
      <formula>NOT(ISERROR(SEARCH("m2",D1368)))</formula>
    </cfRule>
  </conditionalFormatting>
  <conditionalFormatting sqref="D1366">
    <cfRule type="containsText" dxfId="261" priority="719" operator="containsText" text="m2">
      <formula>NOT(ISERROR(SEARCH("m2",D1366)))</formula>
    </cfRule>
  </conditionalFormatting>
  <conditionalFormatting sqref="D1369">
    <cfRule type="containsText" dxfId="260" priority="685" operator="containsText" text="m2">
      <formula>NOT(ISERROR(SEARCH("m2",D1369)))</formula>
    </cfRule>
  </conditionalFormatting>
  <conditionalFormatting sqref="D730">
    <cfRule type="containsText" dxfId="259" priority="639" operator="containsText" text="m2">
      <formula>NOT(ISERROR(SEARCH("m2",D730)))</formula>
    </cfRule>
  </conditionalFormatting>
  <conditionalFormatting sqref="D1540">
    <cfRule type="containsText" dxfId="258" priority="607" operator="containsText" text="m2">
      <formula>NOT(ISERROR(SEARCH("m2",D1540)))</formula>
    </cfRule>
  </conditionalFormatting>
  <conditionalFormatting sqref="D35">
    <cfRule type="containsText" dxfId="257" priority="480" operator="containsText" text="m2">
      <formula>NOT(ISERROR(SEARCH("m2",D35)))</formula>
    </cfRule>
  </conditionalFormatting>
  <conditionalFormatting sqref="D38">
    <cfRule type="containsText" dxfId="256" priority="477" operator="containsText" text="m2">
      <formula>NOT(ISERROR(SEARCH("m2",D38)))</formula>
    </cfRule>
  </conditionalFormatting>
  <conditionalFormatting sqref="D36">
    <cfRule type="containsText" dxfId="255" priority="479" operator="containsText" text="m2">
      <formula>NOT(ISERROR(SEARCH("m2",D36)))</formula>
    </cfRule>
  </conditionalFormatting>
  <conditionalFormatting sqref="D37">
    <cfRule type="containsText" dxfId="254" priority="478" operator="containsText" text="m2">
      <formula>NOT(ISERROR(SEARCH("m2",D37)))</formula>
    </cfRule>
  </conditionalFormatting>
  <conditionalFormatting sqref="D1401">
    <cfRule type="containsText" dxfId="253" priority="461" operator="containsText" text="m2">
      <formula>NOT(ISERROR(SEARCH("m2",D1401)))</formula>
    </cfRule>
  </conditionalFormatting>
  <conditionalFormatting sqref="D1403">
    <cfRule type="containsText" dxfId="252" priority="451" operator="containsText" text="m2">
      <formula>NOT(ISERROR(SEARCH("m2",D1403)))</formula>
    </cfRule>
  </conditionalFormatting>
  <conditionalFormatting sqref="D1405">
    <cfRule type="containsText" dxfId="251" priority="448" operator="containsText" text="m2">
      <formula>NOT(ISERROR(SEARCH("m2",D1405)))</formula>
    </cfRule>
  </conditionalFormatting>
  <conditionalFormatting sqref="D1404">
    <cfRule type="containsText" dxfId="250" priority="449" operator="containsText" text="m2">
      <formula>NOT(ISERROR(SEARCH("m2",D1404)))</formula>
    </cfRule>
  </conditionalFormatting>
  <conditionalFormatting sqref="D16">
    <cfRule type="containsText" dxfId="249" priority="365" operator="containsText" text="m2">
      <formula>NOT(ISERROR(SEARCH("m2",D16)))</formula>
    </cfRule>
  </conditionalFormatting>
  <conditionalFormatting sqref="D20:D21 D23">
    <cfRule type="containsText" dxfId="248" priority="364" operator="containsText" text="m2">
      <formula>NOT(ISERROR(SEARCH("m2",D20)))</formula>
    </cfRule>
  </conditionalFormatting>
  <conditionalFormatting sqref="D40">
    <cfRule type="containsText" dxfId="247" priority="414" operator="containsText" text="m2">
      <formula>NOT(ISERROR(SEARCH("m2",D40)))</formula>
    </cfRule>
  </conditionalFormatting>
  <conditionalFormatting sqref="D22">
    <cfRule type="containsText" dxfId="246" priority="363" operator="containsText" text="m2">
      <formula>NOT(ISERROR(SEARCH("m2",D22)))</formula>
    </cfRule>
  </conditionalFormatting>
  <conditionalFormatting sqref="D1407">
    <cfRule type="containsText" dxfId="245" priority="408" operator="containsText" text="m2">
      <formula>NOT(ISERROR(SEARCH("m2",D1407)))</formula>
    </cfRule>
  </conditionalFormatting>
  <conditionalFormatting sqref="D723">
    <cfRule type="containsText" dxfId="244" priority="354" operator="containsText" text="m2">
      <formula>NOT(ISERROR(SEARCH("m2",D723)))</formula>
    </cfRule>
  </conditionalFormatting>
  <conditionalFormatting sqref="D721">
    <cfRule type="containsText" dxfId="243" priority="355" operator="containsText" text="m2">
      <formula>NOT(ISERROR(SEARCH("m2",D721)))</formula>
    </cfRule>
  </conditionalFormatting>
  <conditionalFormatting sqref="D707">
    <cfRule type="containsText" dxfId="242" priority="396" operator="containsText" text="m2">
      <formula>NOT(ISERROR(SEARCH("m2",D707)))</formula>
    </cfRule>
  </conditionalFormatting>
  <conditionalFormatting sqref="D711">
    <cfRule type="containsText" dxfId="241" priority="394" operator="containsText" text="m2">
      <formula>NOT(ISERROR(SEARCH("m2",D711)))</formula>
    </cfRule>
  </conditionalFormatting>
  <conditionalFormatting sqref="D709">
    <cfRule type="containsText" dxfId="240" priority="395" operator="containsText" text="m2">
      <formula>NOT(ISERROR(SEARCH("m2",D709)))</formula>
    </cfRule>
  </conditionalFormatting>
  <conditionalFormatting sqref="D1406">
    <cfRule type="containsText" dxfId="239" priority="409" operator="containsText" text="m2">
      <formula>NOT(ISERROR(SEARCH("m2",D1406)))</formula>
    </cfRule>
  </conditionalFormatting>
  <conditionalFormatting sqref="D1500">
    <cfRule type="containsText" dxfId="238" priority="377" operator="containsText" text="m2">
      <formula>NOT(ISERROR(SEARCH("m2",D1500)))</formula>
    </cfRule>
  </conditionalFormatting>
  <conditionalFormatting sqref="D29">
    <cfRule type="containsText" dxfId="237" priority="361" operator="containsText" text="m2">
      <formula>NOT(ISERROR(SEARCH("m2",D29)))</formula>
    </cfRule>
  </conditionalFormatting>
  <conditionalFormatting sqref="D713">
    <cfRule type="containsText" dxfId="236" priority="393" operator="containsText" text="m2">
      <formula>NOT(ISERROR(SEARCH("m2",D713)))</formula>
    </cfRule>
  </conditionalFormatting>
  <conditionalFormatting sqref="D715">
    <cfRule type="containsText" dxfId="235" priority="391" operator="containsText" text="m2">
      <formula>NOT(ISERROR(SEARCH("m2",D715)))</formula>
    </cfRule>
  </conditionalFormatting>
  <conditionalFormatting sqref="D1500">
    <cfRule type="containsText" dxfId="234" priority="376" operator="containsText" text="m2">
      <formula>NOT(ISERROR(SEARCH("m2",D1500)))</formula>
    </cfRule>
  </conditionalFormatting>
  <conditionalFormatting sqref="D147">
    <cfRule type="containsText" dxfId="233" priority="358" operator="containsText" text="m2">
      <formula>NOT(ISERROR(SEARCH("m2",D147)))</formula>
    </cfRule>
  </conditionalFormatting>
  <conditionalFormatting sqref="D717">
    <cfRule type="containsText" dxfId="232" priority="357" operator="containsText" text="m2">
      <formula>NOT(ISERROR(SEARCH("m2",D717)))</formula>
    </cfRule>
  </conditionalFormatting>
  <conditionalFormatting sqref="D719">
    <cfRule type="containsText" dxfId="231" priority="356" operator="containsText" text="m2">
      <formula>NOT(ISERROR(SEARCH("m2",D719)))</formula>
    </cfRule>
  </conditionalFormatting>
  <conditionalFormatting sqref="D27:D28 D30">
    <cfRule type="containsText" dxfId="230" priority="362" operator="containsText" text="m2">
      <formula>NOT(ISERROR(SEARCH("m2",D27)))</formula>
    </cfRule>
  </conditionalFormatting>
  <conditionalFormatting sqref="D727:D729">
    <cfRule type="containsText" dxfId="229" priority="352" operator="containsText" text="m2">
      <formula>NOT(ISERROR(SEARCH("m2",D727)))</formula>
    </cfRule>
  </conditionalFormatting>
  <conditionalFormatting sqref="D39">
    <cfRule type="containsText" dxfId="228" priority="359" operator="containsText" text="m2">
      <formula>NOT(ISERROR(SEARCH("m2",D39)))</formula>
    </cfRule>
  </conditionalFormatting>
  <conditionalFormatting sqref="D725">
    <cfRule type="containsText" dxfId="227" priority="353" operator="containsText" text="m2">
      <formula>NOT(ISERROR(SEARCH("m2",D725)))</formula>
    </cfRule>
  </conditionalFormatting>
  <conditionalFormatting sqref="D784:D786">
    <cfRule type="containsText" dxfId="226" priority="338" operator="containsText" text="m2">
      <formula>NOT(ISERROR(SEARCH("m2",D784)))</formula>
    </cfRule>
  </conditionalFormatting>
  <conditionalFormatting sqref="D787">
    <cfRule type="containsText" dxfId="225" priority="350" operator="containsText" text="m2">
      <formula>NOT(ISERROR(SEARCH("m2",D787)))</formula>
    </cfRule>
  </conditionalFormatting>
  <conditionalFormatting sqref="D776">
    <cfRule type="containsText" dxfId="224" priority="342" operator="containsText" text="m2">
      <formula>NOT(ISERROR(SEARCH("m2",D776)))</formula>
    </cfRule>
  </conditionalFormatting>
  <conditionalFormatting sqref="D778">
    <cfRule type="containsText" dxfId="223" priority="341" operator="containsText" text="m2">
      <formula>NOT(ISERROR(SEARCH("m2",D778)))</formula>
    </cfRule>
  </conditionalFormatting>
  <conditionalFormatting sqref="D780">
    <cfRule type="containsText" dxfId="222" priority="340" operator="containsText" text="m2">
      <formula>NOT(ISERROR(SEARCH("m2",D780)))</formula>
    </cfRule>
  </conditionalFormatting>
  <conditionalFormatting sqref="D782">
    <cfRule type="containsText" dxfId="221" priority="339" operator="containsText" text="m2">
      <formula>NOT(ISERROR(SEARCH("m2",D782)))</formula>
    </cfRule>
  </conditionalFormatting>
  <conditionalFormatting sqref="D735">
    <cfRule type="containsText" dxfId="220" priority="337" operator="containsText" text="m2">
      <formula>NOT(ISERROR(SEARCH("m2",D735)))</formula>
    </cfRule>
  </conditionalFormatting>
  <conditionalFormatting sqref="D736">
    <cfRule type="containsText" dxfId="219" priority="336" operator="containsText" text="m2">
      <formula>NOT(ISERROR(SEARCH("m2",D736)))</formula>
    </cfRule>
  </conditionalFormatting>
  <conditionalFormatting sqref="D737:D739 D741:D742">
    <cfRule type="containsText" dxfId="218" priority="335" operator="containsText" text="m2">
      <formula>NOT(ISERROR(SEARCH("m2",D737)))</formula>
    </cfRule>
  </conditionalFormatting>
  <conditionalFormatting sqref="D740">
    <cfRule type="containsText" dxfId="217" priority="334" operator="containsText" text="m2">
      <formula>NOT(ISERROR(SEARCH("m2",D740)))</formula>
    </cfRule>
  </conditionalFormatting>
  <conditionalFormatting sqref="D743">
    <cfRule type="containsText" dxfId="216" priority="333" operator="containsText" text="m2">
      <formula>NOT(ISERROR(SEARCH("m2",D743)))</formula>
    </cfRule>
  </conditionalFormatting>
  <conditionalFormatting sqref="D746">
    <cfRule type="containsText" dxfId="215" priority="332" operator="containsText" text="m2">
      <formula>NOT(ISERROR(SEARCH("m2",D746)))</formula>
    </cfRule>
  </conditionalFormatting>
  <conditionalFormatting sqref="D744">
    <cfRule type="containsText" dxfId="214" priority="331" operator="containsText" text="m2">
      <formula>NOT(ISERROR(SEARCH("m2",D744)))</formula>
    </cfRule>
  </conditionalFormatting>
  <conditionalFormatting sqref="D747">
    <cfRule type="containsText" dxfId="213" priority="330" operator="containsText" text="m2">
      <formula>NOT(ISERROR(SEARCH("m2",D747)))</formula>
    </cfRule>
  </conditionalFormatting>
  <conditionalFormatting sqref="D749">
    <cfRule type="containsText" dxfId="212" priority="329" operator="containsText" text="m2">
      <formula>NOT(ISERROR(SEARCH("m2",D749)))</formula>
    </cfRule>
  </conditionalFormatting>
  <conditionalFormatting sqref="D750">
    <cfRule type="containsText" dxfId="211" priority="328" operator="containsText" text="m2">
      <formula>NOT(ISERROR(SEARCH("m2",D750)))</formula>
    </cfRule>
  </conditionalFormatting>
  <conditionalFormatting sqref="D752">
    <cfRule type="containsText" dxfId="210" priority="327" operator="containsText" text="m2">
      <formula>NOT(ISERROR(SEARCH("m2",D752)))</formula>
    </cfRule>
  </conditionalFormatting>
  <conditionalFormatting sqref="D753">
    <cfRule type="containsText" dxfId="209" priority="326" operator="containsText" text="m2">
      <formula>NOT(ISERROR(SEARCH("m2",D753)))</formula>
    </cfRule>
  </conditionalFormatting>
  <conditionalFormatting sqref="D755">
    <cfRule type="containsText" dxfId="208" priority="325" operator="containsText" text="m2">
      <formula>NOT(ISERROR(SEARCH("m2",D755)))</formula>
    </cfRule>
  </conditionalFormatting>
  <conditionalFormatting sqref="D756">
    <cfRule type="containsText" dxfId="207" priority="324" operator="containsText" text="m2">
      <formula>NOT(ISERROR(SEARCH("m2",D756)))</formula>
    </cfRule>
  </conditionalFormatting>
  <conditionalFormatting sqref="D758">
    <cfRule type="containsText" dxfId="206" priority="323" operator="containsText" text="m2">
      <formula>NOT(ISERROR(SEARCH("m2",D758)))</formula>
    </cfRule>
  </conditionalFormatting>
  <conditionalFormatting sqref="D745">
    <cfRule type="containsText" dxfId="205" priority="321" operator="containsText" text="m2">
      <formula>NOT(ISERROR(SEARCH("m2",D745)))</formula>
    </cfRule>
  </conditionalFormatting>
  <conditionalFormatting sqref="D748">
    <cfRule type="containsText" dxfId="204" priority="320" operator="containsText" text="m2">
      <formula>NOT(ISERROR(SEARCH("m2",D748)))</formula>
    </cfRule>
  </conditionalFormatting>
  <conditionalFormatting sqref="D751">
    <cfRule type="containsText" dxfId="203" priority="319" operator="containsText" text="m2">
      <formula>NOT(ISERROR(SEARCH("m2",D751)))</formula>
    </cfRule>
  </conditionalFormatting>
  <conditionalFormatting sqref="D754">
    <cfRule type="containsText" dxfId="202" priority="318" operator="containsText" text="m2">
      <formula>NOT(ISERROR(SEARCH("m2",D754)))</formula>
    </cfRule>
  </conditionalFormatting>
  <conditionalFormatting sqref="D757">
    <cfRule type="containsText" dxfId="201" priority="317" operator="containsText" text="m2">
      <formula>NOT(ISERROR(SEARCH("m2",D757)))</formula>
    </cfRule>
  </conditionalFormatting>
  <conditionalFormatting sqref="D760">
    <cfRule type="containsText" dxfId="200" priority="316" operator="containsText" text="m2">
      <formula>NOT(ISERROR(SEARCH("m2",D760)))</formula>
    </cfRule>
  </conditionalFormatting>
  <conditionalFormatting sqref="D759">
    <cfRule type="containsText" dxfId="199" priority="315" operator="containsText" text="m2">
      <formula>NOT(ISERROR(SEARCH("m2",D759)))</formula>
    </cfRule>
  </conditionalFormatting>
  <conditionalFormatting sqref="D732">
    <cfRule type="containsText" dxfId="198" priority="314" operator="containsText" text="m2">
      <formula>NOT(ISERROR(SEARCH("m2",D732)))</formula>
    </cfRule>
  </conditionalFormatting>
  <conditionalFormatting sqref="D731">
    <cfRule type="containsText" dxfId="197" priority="313" operator="containsText" text="m2">
      <formula>NOT(ISERROR(SEARCH("m2",D731)))</formula>
    </cfRule>
  </conditionalFormatting>
  <conditionalFormatting sqref="D734">
    <cfRule type="containsText" dxfId="196" priority="312" operator="containsText" text="m2">
      <formula>NOT(ISERROR(SEARCH("m2",D734)))</formula>
    </cfRule>
  </conditionalFormatting>
  <conditionalFormatting sqref="D733">
    <cfRule type="containsText" dxfId="195" priority="311" operator="containsText" text="m2">
      <formula>NOT(ISERROR(SEARCH("m2",D733)))</formula>
    </cfRule>
  </conditionalFormatting>
  <conditionalFormatting sqref="D788">
    <cfRule type="containsText" dxfId="194" priority="310" operator="containsText" text="m2">
      <formula>NOT(ISERROR(SEARCH("m2",D788)))</formula>
    </cfRule>
  </conditionalFormatting>
  <conditionalFormatting sqref="D823:D824">
    <cfRule type="containsText" dxfId="193" priority="307" operator="containsText" text="m2">
      <formula>NOT(ISERROR(SEARCH("m2",D823)))</formula>
    </cfRule>
  </conditionalFormatting>
  <conditionalFormatting sqref="D831:D833">
    <cfRule type="containsText" dxfId="192" priority="306" operator="containsText" text="m2">
      <formula>NOT(ISERROR(SEARCH("m2",D831)))</formula>
    </cfRule>
  </conditionalFormatting>
  <conditionalFormatting sqref="D825">
    <cfRule type="containsText" dxfId="191" priority="305" operator="containsText" text="m2">
      <formula>NOT(ISERROR(SEARCH("m2",D825)))</formula>
    </cfRule>
  </conditionalFormatting>
  <conditionalFormatting sqref="D828:D829">
    <cfRule type="containsText" dxfId="190" priority="304" operator="containsText" text="m2">
      <formula>NOT(ISERROR(SEARCH("m2",D828)))</formula>
    </cfRule>
  </conditionalFormatting>
  <conditionalFormatting sqref="D827">
    <cfRule type="containsText" dxfId="189" priority="303" operator="containsText" text="m2">
      <formula>NOT(ISERROR(SEARCH("m2",D827)))</formula>
    </cfRule>
  </conditionalFormatting>
  <conditionalFormatting sqref="D944">
    <cfRule type="containsText" dxfId="188" priority="302" operator="containsText" text="m2">
      <formula>NOT(ISERROR(SEARCH("m2",D944)))</formula>
    </cfRule>
  </conditionalFormatting>
  <conditionalFormatting sqref="D945">
    <cfRule type="containsText" dxfId="187" priority="301" operator="containsText" text="m2">
      <formula>NOT(ISERROR(SEARCH("m2",D945)))</formula>
    </cfRule>
  </conditionalFormatting>
  <conditionalFormatting sqref="D947">
    <cfRule type="containsText" dxfId="186" priority="300" operator="containsText" text="m2">
      <formula>NOT(ISERROR(SEARCH("m2",D947)))</formula>
    </cfRule>
  </conditionalFormatting>
  <conditionalFormatting sqref="D948">
    <cfRule type="containsText" dxfId="185" priority="299" operator="containsText" text="m2">
      <formula>NOT(ISERROR(SEARCH("m2",D948)))</formula>
    </cfRule>
  </conditionalFormatting>
  <conditionalFormatting sqref="D950">
    <cfRule type="containsText" dxfId="184" priority="298" operator="containsText" text="m2">
      <formula>NOT(ISERROR(SEARCH("m2",D950)))</formula>
    </cfRule>
  </conditionalFormatting>
  <conditionalFormatting sqref="D989:D990">
    <cfRule type="containsText" dxfId="183" priority="297" operator="containsText" text="m2">
      <formula>NOT(ISERROR(SEARCH("m2",D989)))</formula>
    </cfRule>
  </conditionalFormatting>
  <conditionalFormatting sqref="D991">
    <cfRule type="containsText" dxfId="182" priority="296" operator="containsText" text="m2">
      <formula>NOT(ISERROR(SEARCH("m2",D991)))</formula>
    </cfRule>
  </conditionalFormatting>
  <conditionalFormatting sqref="D994 D997">
    <cfRule type="containsText" dxfId="181" priority="295" operator="containsText" text="m2">
      <formula>NOT(ISERROR(SEARCH("m2",D994)))</formula>
    </cfRule>
  </conditionalFormatting>
  <conditionalFormatting sqref="D999">
    <cfRule type="containsText" dxfId="180" priority="294" operator="containsText" text="m2">
      <formula>NOT(ISERROR(SEARCH("m2",D999)))</formula>
    </cfRule>
  </conditionalFormatting>
  <conditionalFormatting sqref="D992">
    <cfRule type="containsText" dxfId="179" priority="293" operator="containsText" text="m2">
      <formula>NOT(ISERROR(SEARCH("m2",D992)))</formula>
    </cfRule>
  </conditionalFormatting>
  <conditionalFormatting sqref="D993">
    <cfRule type="containsText" dxfId="178" priority="292" operator="containsText" text="m2">
      <formula>NOT(ISERROR(SEARCH("m2",D993)))</formula>
    </cfRule>
  </conditionalFormatting>
  <conditionalFormatting sqref="D995">
    <cfRule type="containsText" dxfId="177" priority="291" operator="containsText" text="m2">
      <formula>NOT(ISERROR(SEARCH("m2",D995)))</formula>
    </cfRule>
  </conditionalFormatting>
  <conditionalFormatting sqref="D996">
    <cfRule type="containsText" dxfId="176" priority="290" operator="containsText" text="m2">
      <formula>NOT(ISERROR(SEARCH("m2",D996)))</formula>
    </cfRule>
  </conditionalFormatting>
  <conditionalFormatting sqref="D998">
    <cfRule type="containsText" dxfId="175" priority="289" operator="containsText" text="m2">
      <formula>NOT(ISERROR(SEARCH("m2",D998)))</formula>
    </cfRule>
  </conditionalFormatting>
  <conditionalFormatting sqref="D1038:D1039">
    <cfRule type="containsText" dxfId="174" priority="288" operator="containsText" text="m2">
      <formula>NOT(ISERROR(SEARCH("m2",D1038)))</formula>
    </cfRule>
  </conditionalFormatting>
  <conditionalFormatting sqref="D1040">
    <cfRule type="containsText" dxfId="173" priority="287" operator="containsText" text="m2">
      <formula>NOT(ISERROR(SEARCH("m2",D1040)))</formula>
    </cfRule>
  </conditionalFormatting>
  <conditionalFormatting sqref="D1041">
    <cfRule type="containsText" dxfId="172" priority="286" operator="containsText" text="m2">
      <formula>NOT(ISERROR(SEARCH("m2",D1041)))</formula>
    </cfRule>
  </conditionalFormatting>
  <conditionalFormatting sqref="D1047">
    <cfRule type="containsText" dxfId="171" priority="280" operator="containsText" text="m2">
      <formula>NOT(ISERROR(SEARCH("m2",D1047)))</formula>
    </cfRule>
  </conditionalFormatting>
  <conditionalFormatting sqref="D1096">
    <cfRule type="containsText" dxfId="170" priority="271" operator="containsText" text="m2">
      <formula>NOT(ISERROR(SEARCH("m2",D1096)))</formula>
    </cfRule>
  </conditionalFormatting>
  <conditionalFormatting sqref="D1043 D1046">
    <cfRule type="containsText" dxfId="169" priority="285" operator="containsText" text="m2">
      <formula>NOT(ISERROR(SEARCH("m2",D1043)))</formula>
    </cfRule>
  </conditionalFormatting>
  <conditionalFormatting sqref="D1048">
    <cfRule type="containsText" dxfId="168" priority="284" operator="containsText" text="m2">
      <formula>NOT(ISERROR(SEARCH("m2",D1048)))</formula>
    </cfRule>
  </conditionalFormatting>
  <conditionalFormatting sqref="D1042">
    <cfRule type="containsText" dxfId="167" priority="283" operator="containsText" text="m2">
      <formula>NOT(ISERROR(SEARCH("m2",D1042)))</formula>
    </cfRule>
  </conditionalFormatting>
  <conditionalFormatting sqref="D1044">
    <cfRule type="containsText" dxfId="166" priority="282" operator="containsText" text="m2">
      <formula>NOT(ISERROR(SEARCH("m2",D1044)))</formula>
    </cfRule>
  </conditionalFormatting>
  <conditionalFormatting sqref="D1087:D1088">
    <cfRule type="containsText" dxfId="165" priority="279" operator="containsText" text="m2">
      <formula>NOT(ISERROR(SEARCH("m2",D1087)))</formula>
    </cfRule>
  </conditionalFormatting>
  <conditionalFormatting sqref="D1089">
    <cfRule type="containsText" dxfId="164" priority="278" operator="containsText" text="m2">
      <formula>NOT(ISERROR(SEARCH("m2",D1089)))</formula>
    </cfRule>
  </conditionalFormatting>
  <conditionalFormatting sqref="D1090">
    <cfRule type="containsText" dxfId="163" priority="277" operator="containsText" text="m2">
      <formula>NOT(ISERROR(SEARCH("m2",D1090)))</formula>
    </cfRule>
  </conditionalFormatting>
  <conditionalFormatting sqref="D1092 D1095">
    <cfRule type="containsText" dxfId="162" priority="276" operator="containsText" text="m2">
      <formula>NOT(ISERROR(SEARCH("m2",D1092)))</formula>
    </cfRule>
  </conditionalFormatting>
  <conditionalFormatting sqref="D1097">
    <cfRule type="containsText" dxfId="161" priority="275" operator="containsText" text="m2">
      <formula>NOT(ISERROR(SEARCH("m2",D1097)))</formula>
    </cfRule>
  </conditionalFormatting>
  <conditionalFormatting sqref="D1091">
    <cfRule type="containsText" dxfId="160" priority="274" operator="containsText" text="m2">
      <formula>NOT(ISERROR(SEARCH("m2",D1091)))</formula>
    </cfRule>
  </conditionalFormatting>
  <conditionalFormatting sqref="D1093">
    <cfRule type="containsText" dxfId="159" priority="273" operator="containsText" text="m2">
      <formula>NOT(ISERROR(SEARCH("m2",D1093)))</formula>
    </cfRule>
  </conditionalFormatting>
  <conditionalFormatting sqref="D1094">
    <cfRule type="containsText" dxfId="158" priority="272" operator="containsText" text="m2">
      <formula>NOT(ISERROR(SEARCH("m2",D1094)))</formula>
    </cfRule>
  </conditionalFormatting>
  <conditionalFormatting sqref="D1296">
    <cfRule type="containsText" dxfId="157" priority="252" operator="containsText" text="m2">
      <formula>NOT(ISERROR(SEARCH("m2",D1296)))</formula>
    </cfRule>
  </conditionalFormatting>
  <conditionalFormatting sqref="D1298">
    <cfRule type="containsText" dxfId="156" priority="251" operator="containsText" text="m2">
      <formula>NOT(ISERROR(SEARCH("m2",D1298)))</formula>
    </cfRule>
  </conditionalFormatting>
  <conditionalFormatting sqref="D1300">
    <cfRule type="containsText" dxfId="155" priority="250" operator="containsText" text="m2">
      <formula>NOT(ISERROR(SEARCH("m2",D1300)))</formula>
    </cfRule>
  </conditionalFormatting>
  <conditionalFormatting sqref="D1302 D1304">
    <cfRule type="containsText" dxfId="154" priority="249" operator="containsText" text="m2">
      <formula>NOT(ISERROR(SEARCH("m2",D1302)))</formula>
    </cfRule>
  </conditionalFormatting>
  <conditionalFormatting sqref="D1307">
    <cfRule type="containsText" dxfId="153" priority="248" operator="containsText" text="m2">
      <formula>NOT(ISERROR(SEARCH("m2",D1307)))</formula>
    </cfRule>
  </conditionalFormatting>
  <conditionalFormatting sqref="D1306">
    <cfRule type="containsText" dxfId="152" priority="247" operator="containsText" text="m2">
      <formula>NOT(ISERROR(SEARCH("m2",D1306)))</formula>
    </cfRule>
  </conditionalFormatting>
  <conditionalFormatting sqref="D1311">
    <cfRule type="containsText" dxfId="151" priority="246" operator="containsText" text="m2">
      <formula>NOT(ISERROR(SEARCH("m2",D1311)))</formula>
    </cfRule>
  </conditionalFormatting>
  <conditionalFormatting sqref="D1305">
    <cfRule type="containsText" dxfId="150" priority="261" operator="containsText" text="m2">
      <formula>NOT(ISERROR(SEARCH("m2",D1305)))</formula>
    </cfRule>
  </conditionalFormatting>
  <conditionalFormatting sqref="D1294">
    <cfRule type="containsText" dxfId="149" priority="253" operator="containsText" text="m2">
      <formula>NOT(ISERROR(SEARCH("m2",D1294)))</formula>
    </cfRule>
  </conditionalFormatting>
  <conditionalFormatting sqref="D1314">
    <cfRule type="containsText" dxfId="148" priority="243" operator="containsText" text="m2">
      <formula>NOT(ISERROR(SEARCH("m2",D1314)))</formula>
    </cfRule>
  </conditionalFormatting>
  <conditionalFormatting sqref="D1317 D1320">
    <cfRule type="containsText" dxfId="147" priority="242" operator="containsText" text="m2">
      <formula>NOT(ISERROR(SEARCH("m2",D1317)))</formula>
    </cfRule>
  </conditionalFormatting>
  <conditionalFormatting sqref="D1322">
    <cfRule type="containsText" dxfId="146" priority="241" operator="containsText" text="m2">
      <formula>NOT(ISERROR(SEARCH("m2",D1322)))</formula>
    </cfRule>
  </conditionalFormatting>
  <conditionalFormatting sqref="D1315">
    <cfRule type="containsText" dxfId="145" priority="240" operator="containsText" text="m2">
      <formula>NOT(ISERROR(SEARCH("m2",D1315)))</formula>
    </cfRule>
  </conditionalFormatting>
  <conditionalFormatting sqref="D1316">
    <cfRule type="containsText" dxfId="144" priority="239" operator="containsText" text="m2">
      <formula>NOT(ISERROR(SEARCH("m2",D1316)))</formula>
    </cfRule>
  </conditionalFormatting>
  <conditionalFormatting sqref="D1318">
    <cfRule type="containsText" dxfId="143" priority="238" operator="containsText" text="m2">
      <formula>NOT(ISERROR(SEARCH("m2",D1318)))</formula>
    </cfRule>
  </conditionalFormatting>
  <conditionalFormatting sqref="D1319">
    <cfRule type="containsText" dxfId="142" priority="237" operator="containsText" text="m2">
      <formula>NOT(ISERROR(SEARCH("m2",D1319)))</formula>
    </cfRule>
  </conditionalFormatting>
  <conditionalFormatting sqref="D1308:D1309">
    <cfRule type="containsText" dxfId="141" priority="245" operator="containsText" text="m2">
      <formula>NOT(ISERROR(SEARCH("m2",D1308)))</formula>
    </cfRule>
  </conditionalFormatting>
  <conditionalFormatting sqref="D1312:D1313">
    <cfRule type="containsText" dxfId="140" priority="244" operator="containsText" text="m2">
      <formula>NOT(ISERROR(SEARCH("m2",D1312)))</formula>
    </cfRule>
  </conditionalFormatting>
  <conditionalFormatting sqref="D1321">
    <cfRule type="containsText" dxfId="139" priority="236" operator="containsText" text="m2">
      <formula>NOT(ISERROR(SEARCH("m2",D1321)))</formula>
    </cfRule>
  </conditionalFormatting>
  <conditionalFormatting sqref="D1362">
    <cfRule type="containsText" dxfId="138" priority="234" operator="containsText" text="m2">
      <formula>NOT(ISERROR(SEARCH("m2",D1362)))</formula>
    </cfRule>
  </conditionalFormatting>
  <conditionalFormatting sqref="D1365">
    <cfRule type="containsText" dxfId="137" priority="233" operator="containsText" text="m2">
      <formula>NOT(ISERROR(SEARCH("m2",D1365)))</formula>
    </cfRule>
  </conditionalFormatting>
  <conditionalFormatting sqref="D1365">
    <cfRule type="containsText" dxfId="136" priority="232" operator="containsText" text="m2">
      <formula>NOT(ISERROR(SEARCH("m2",D1365)))</formula>
    </cfRule>
  </conditionalFormatting>
  <conditionalFormatting sqref="D1374">
    <cfRule type="containsText" dxfId="135" priority="229" operator="containsText" text="m2">
      <formula>NOT(ISERROR(SEARCH("m2",D1374)))</formula>
    </cfRule>
  </conditionalFormatting>
  <conditionalFormatting sqref="D1372">
    <cfRule type="containsText" dxfId="134" priority="230" operator="containsText" text="m2">
      <formula>NOT(ISERROR(SEARCH("m2",D1372)))</formula>
    </cfRule>
  </conditionalFormatting>
  <conditionalFormatting sqref="D1386:D1388">
    <cfRule type="containsText" dxfId="133" priority="225" operator="containsText" text="m2">
      <formula>NOT(ISERROR(SEARCH("m2",D1386)))</formula>
    </cfRule>
  </conditionalFormatting>
  <conditionalFormatting sqref="D1380">
    <cfRule type="containsText" dxfId="132" priority="228" operator="containsText" text="m2">
      <formula>NOT(ISERROR(SEARCH("m2",D1380)))</formula>
    </cfRule>
  </conditionalFormatting>
  <conditionalFormatting sqref="D1381">
    <cfRule type="containsText" dxfId="131" priority="227" operator="containsText" text="m2">
      <formula>NOT(ISERROR(SEARCH("m2",D1381)))</formula>
    </cfRule>
  </conditionalFormatting>
  <conditionalFormatting sqref="D1384:D1385">
    <cfRule type="containsText" dxfId="130" priority="226" operator="containsText" text="m2">
      <formula>NOT(ISERROR(SEARCH("m2",D1384)))</formula>
    </cfRule>
  </conditionalFormatting>
  <conditionalFormatting sqref="D1389:D1391">
    <cfRule type="containsText" dxfId="129" priority="224" operator="containsText" text="m2">
      <formula>NOT(ISERROR(SEARCH("m2",D1389)))</formula>
    </cfRule>
  </conditionalFormatting>
  <conditionalFormatting sqref="D1392:D1394">
    <cfRule type="containsText" dxfId="128" priority="223" operator="containsText" text="m2">
      <formula>NOT(ISERROR(SEARCH("m2",D1392)))</formula>
    </cfRule>
  </conditionalFormatting>
  <conditionalFormatting sqref="D1395:D1396">
    <cfRule type="containsText" dxfId="127" priority="222" operator="containsText" text="m2">
      <formula>NOT(ISERROR(SEARCH("m2",D1395)))</formula>
    </cfRule>
  </conditionalFormatting>
  <conditionalFormatting sqref="D1397:D1399">
    <cfRule type="containsText" dxfId="126" priority="221" operator="containsText" text="m2">
      <formula>NOT(ISERROR(SEARCH("m2",D1397)))</formula>
    </cfRule>
  </conditionalFormatting>
  <conditionalFormatting sqref="D1400">
    <cfRule type="containsText" dxfId="125" priority="218" operator="containsText" text="m2">
      <formula>NOT(ISERROR(SEARCH("m2",D1400)))</formula>
    </cfRule>
  </conditionalFormatting>
  <conditionalFormatting sqref="D1402">
    <cfRule type="containsText" dxfId="124" priority="217" operator="containsText" text="m2">
      <formula>NOT(ISERROR(SEARCH("m2",D1402)))</formula>
    </cfRule>
  </conditionalFormatting>
  <conditionalFormatting sqref="D1408">
    <cfRule type="containsText" dxfId="123" priority="214" operator="containsText" text="m2">
      <formula>NOT(ISERROR(SEARCH("m2",D1408)))</formula>
    </cfRule>
  </conditionalFormatting>
  <conditionalFormatting sqref="D1410">
    <cfRule type="containsText" dxfId="122" priority="213" operator="containsText" text="m2">
      <formula>NOT(ISERROR(SEARCH("m2",D1410)))</formula>
    </cfRule>
  </conditionalFormatting>
  <conditionalFormatting sqref="D1371">
    <cfRule type="containsText" dxfId="121" priority="212" operator="containsText" text="m2">
      <formula>NOT(ISERROR(SEARCH("m2",D1371)))</formula>
    </cfRule>
  </conditionalFormatting>
  <conditionalFormatting sqref="D1373">
    <cfRule type="containsText" dxfId="120" priority="211" operator="containsText" text="m2">
      <formula>NOT(ISERROR(SEARCH("m2",D1373)))</formula>
    </cfRule>
  </conditionalFormatting>
  <conditionalFormatting sqref="D1375">
    <cfRule type="containsText" dxfId="119" priority="210" operator="containsText" text="m2">
      <formula>NOT(ISERROR(SEARCH("m2",D1375)))</formula>
    </cfRule>
  </conditionalFormatting>
  <conditionalFormatting sqref="D1377">
    <cfRule type="containsText" dxfId="118" priority="209" operator="containsText" text="m2">
      <formula>NOT(ISERROR(SEARCH("m2",D1377)))</formula>
    </cfRule>
  </conditionalFormatting>
  <conditionalFormatting sqref="D1376">
    <cfRule type="containsText" dxfId="117" priority="208" operator="containsText" text="m2">
      <formula>NOT(ISERROR(SEARCH("m2",D1376)))</formula>
    </cfRule>
  </conditionalFormatting>
  <conditionalFormatting sqref="D1378">
    <cfRule type="containsText" dxfId="116" priority="207" operator="containsText" text="m2">
      <formula>NOT(ISERROR(SEARCH("m2",D1378)))</formula>
    </cfRule>
  </conditionalFormatting>
  <conditionalFormatting sqref="D1379">
    <cfRule type="containsText" dxfId="115" priority="206" operator="containsText" text="m2">
      <formula>NOT(ISERROR(SEARCH("m2",D1379)))</formula>
    </cfRule>
  </conditionalFormatting>
  <conditionalFormatting sqref="D1412">
    <cfRule type="containsText" dxfId="114" priority="205" operator="containsText" text="m2">
      <formula>NOT(ISERROR(SEARCH("m2",D1412)))</formula>
    </cfRule>
  </conditionalFormatting>
  <conditionalFormatting sqref="D1457">
    <cfRule type="containsText" dxfId="113" priority="204" operator="containsText" text="m2">
      <formula>NOT(ISERROR(SEARCH("m2",D1457)))</formula>
    </cfRule>
  </conditionalFormatting>
  <conditionalFormatting sqref="D1419 D1422">
    <cfRule type="containsText" dxfId="112" priority="203" operator="containsText" text="m2">
      <formula>NOT(ISERROR(SEARCH("m2",D1419)))</formula>
    </cfRule>
  </conditionalFormatting>
  <conditionalFormatting sqref="D1419 D1422">
    <cfRule type="containsText" dxfId="111" priority="202" operator="containsText" text="m2">
      <formula>NOT(ISERROR(SEARCH("m2",D1419)))</formula>
    </cfRule>
  </conditionalFormatting>
  <conditionalFormatting sqref="D1425">
    <cfRule type="containsText" dxfId="110" priority="201" operator="containsText" text="m2">
      <formula>NOT(ISERROR(SEARCH("m2",D1425)))</formula>
    </cfRule>
  </conditionalFormatting>
  <conditionalFormatting sqref="D1425">
    <cfRule type="containsText" dxfId="109" priority="198" operator="containsText" text="m2">
      <formula>NOT(ISERROR(SEARCH("m2",D1425)))</formula>
    </cfRule>
  </conditionalFormatting>
  <conditionalFormatting sqref="D1429">
    <cfRule type="containsText" dxfId="108" priority="195" operator="containsText" text="m2">
      <formula>NOT(ISERROR(SEARCH("m2",D1429)))</formula>
    </cfRule>
  </conditionalFormatting>
  <conditionalFormatting sqref="D1429">
    <cfRule type="containsText" dxfId="107" priority="196" operator="containsText" text="m2">
      <formula>NOT(ISERROR(SEARCH("m2",D1429)))</formula>
    </cfRule>
  </conditionalFormatting>
  <conditionalFormatting sqref="D1436">
    <cfRule type="containsText" dxfId="106" priority="192" operator="containsText" text="m2">
      <formula>NOT(ISERROR(SEARCH("m2",D1436)))</formula>
    </cfRule>
  </conditionalFormatting>
  <conditionalFormatting sqref="D1466">
    <cfRule type="containsText" dxfId="105" priority="170" operator="containsText" text="m2">
      <formula>NOT(ISERROR(SEARCH("m2",D1466)))</formula>
    </cfRule>
  </conditionalFormatting>
  <conditionalFormatting sqref="D1494">
    <cfRule type="containsText" dxfId="104" priority="189" operator="containsText" text="m2">
      <formula>NOT(ISERROR(SEARCH("m2",D1494)))</formula>
    </cfRule>
  </conditionalFormatting>
  <conditionalFormatting sqref="D1494">
    <cfRule type="containsText" dxfId="103" priority="190" operator="containsText" text="m2">
      <formula>NOT(ISERROR(SEARCH("m2",D1494)))</formula>
    </cfRule>
  </conditionalFormatting>
  <conditionalFormatting sqref="D1475">
    <cfRule type="containsText" dxfId="102" priority="167" operator="containsText" text="m2">
      <formula>NOT(ISERROR(SEARCH("m2",D1475)))</formula>
    </cfRule>
  </conditionalFormatting>
  <conditionalFormatting sqref="D1439">
    <cfRule type="containsText" dxfId="101" priority="188" operator="containsText" text="m2">
      <formula>NOT(ISERROR(SEARCH("m2",D1439)))</formula>
    </cfRule>
  </conditionalFormatting>
  <conditionalFormatting sqref="D1442">
    <cfRule type="containsText" dxfId="100" priority="187" operator="containsText" text="m2">
      <formula>NOT(ISERROR(SEARCH("m2",D1442)))</formula>
    </cfRule>
  </conditionalFormatting>
  <conditionalFormatting sqref="D1478">
    <cfRule type="containsText" dxfId="99" priority="186" operator="containsText" text="m2">
      <formula>NOT(ISERROR(SEARCH("m2",D1478)))</formula>
    </cfRule>
  </conditionalFormatting>
  <conditionalFormatting sqref="D1482">
    <cfRule type="containsText" dxfId="98" priority="185" operator="containsText" text="m2">
      <formula>NOT(ISERROR(SEARCH("m2",D1482)))</formula>
    </cfRule>
  </conditionalFormatting>
  <conditionalFormatting sqref="D1488">
    <cfRule type="containsText" dxfId="97" priority="184" operator="containsText" text="m2">
      <formula>NOT(ISERROR(SEARCH("m2",D1488)))</formula>
    </cfRule>
  </conditionalFormatting>
  <conditionalFormatting sqref="D1489">
    <cfRule type="containsText" dxfId="96" priority="183" operator="containsText" text="m2">
      <formula>NOT(ISERROR(SEARCH("m2",D1489)))</formula>
    </cfRule>
  </conditionalFormatting>
  <conditionalFormatting sqref="D1492">
    <cfRule type="containsText" dxfId="95" priority="181" operator="containsText" text="m2">
      <formula>NOT(ISERROR(SEARCH("m2",D1492)))</formula>
    </cfRule>
  </conditionalFormatting>
  <conditionalFormatting sqref="D1517 D1535:D1537">
    <cfRule type="containsText" dxfId="94" priority="152" operator="containsText" text="m2">
      <formula>NOT(ISERROR(SEARCH("m2",D1517)))</formula>
    </cfRule>
  </conditionalFormatting>
  <conditionalFormatting sqref="D1445">
    <cfRule type="containsText" dxfId="93" priority="176" operator="containsText" text="m2">
      <formula>NOT(ISERROR(SEARCH("m2",D1445)))</formula>
    </cfRule>
  </conditionalFormatting>
  <conditionalFormatting sqref="D1501:D1502">
    <cfRule type="containsText" dxfId="92" priority="150" operator="containsText" text="m2">
      <formula>NOT(ISERROR(SEARCH("m2",D1501)))</formula>
    </cfRule>
  </conditionalFormatting>
  <conditionalFormatting sqref="D1454">
    <cfRule type="containsText" dxfId="91" priority="174" operator="containsText" text="m2">
      <formula>NOT(ISERROR(SEARCH("m2",D1454)))</formula>
    </cfRule>
  </conditionalFormatting>
  <conditionalFormatting sqref="D1463:D1465">
    <cfRule type="containsText" dxfId="90" priority="171" operator="containsText" text="m2">
      <formula>NOT(ISERROR(SEARCH("m2",D1463)))</formula>
    </cfRule>
  </conditionalFormatting>
  <conditionalFormatting sqref="D1501:D1502">
    <cfRule type="containsText" dxfId="89" priority="151" operator="containsText" text="m2">
      <formula>NOT(ISERROR(SEARCH("m2",D1501)))</formula>
    </cfRule>
  </conditionalFormatting>
  <conditionalFormatting sqref="D1460">
    <cfRule type="containsText" dxfId="88" priority="172" operator="containsText" text="m2">
      <formula>NOT(ISERROR(SEARCH("m2",D1460)))</formula>
    </cfRule>
  </conditionalFormatting>
  <conditionalFormatting sqref="D1469">
    <cfRule type="containsText" dxfId="87" priority="169" operator="containsText" text="m2">
      <formula>NOT(ISERROR(SEARCH("m2",D1469)))</formula>
    </cfRule>
  </conditionalFormatting>
  <conditionalFormatting sqref="D1472">
    <cfRule type="containsText" dxfId="86" priority="168" operator="containsText" text="m2">
      <formula>NOT(ISERROR(SEARCH("m2",D1472)))</formula>
    </cfRule>
  </conditionalFormatting>
  <conditionalFormatting sqref="D1451">
    <cfRule type="containsText" dxfId="85" priority="157" operator="containsText" text="m2">
      <formula>NOT(ISERROR(SEARCH("m2",D1451)))</formula>
    </cfRule>
  </conditionalFormatting>
  <conditionalFormatting sqref="D1480">
    <cfRule type="containsText" dxfId="84" priority="165" operator="containsText" text="m2">
      <formula>NOT(ISERROR(SEARCH("m2",D1480)))</formula>
    </cfRule>
  </conditionalFormatting>
  <conditionalFormatting sqref="D1485">
    <cfRule type="containsText" dxfId="83" priority="163" operator="containsText" text="m2">
      <formula>NOT(ISERROR(SEARCH("m2",D1485)))</formula>
    </cfRule>
  </conditionalFormatting>
  <conditionalFormatting sqref="D1532:D1534">
    <cfRule type="containsText" dxfId="82" priority="138" operator="containsText" text="m2">
      <formula>NOT(ISERROR(SEARCH("m2",D1532)))</formula>
    </cfRule>
  </conditionalFormatting>
  <conditionalFormatting sqref="D1506">
    <cfRule type="containsText" dxfId="81" priority="144" operator="containsText" text="m2">
      <formula>NOT(ISERROR(SEARCH("m2",D1506)))</formula>
    </cfRule>
  </conditionalFormatting>
  <conditionalFormatting sqref="D1448">
    <cfRule type="containsText" dxfId="80" priority="158" operator="containsText" text="m2">
      <formula>NOT(ISERROR(SEARCH("m2",D1448)))</formula>
    </cfRule>
  </conditionalFormatting>
  <conditionalFormatting sqref="D1507">
    <cfRule type="containsText" dxfId="79" priority="142" operator="containsText" text="m2">
      <formula>NOT(ISERROR(SEARCH("m2",D1507)))</formula>
    </cfRule>
  </conditionalFormatting>
  <conditionalFormatting sqref="D1470:D1471">
    <cfRule type="containsText" dxfId="78" priority="99" operator="containsText" text="m2">
      <formula>NOT(ISERROR(SEARCH("m2",D1470)))</formula>
    </cfRule>
  </conditionalFormatting>
  <conditionalFormatting sqref="D1505">
    <cfRule type="containsText" dxfId="77" priority="127" operator="containsText" text="m2">
      <formula>NOT(ISERROR(SEARCH("m2",D1505)))</formula>
    </cfRule>
  </conditionalFormatting>
  <conditionalFormatting sqref="D1503">
    <cfRule type="containsText" dxfId="76" priority="149" operator="containsText" text="m2">
      <formula>NOT(ISERROR(SEARCH("m2",D1503)))</formula>
    </cfRule>
  </conditionalFormatting>
  <conditionalFormatting sqref="D1503">
    <cfRule type="containsText" dxfId="75" priority="146" operator="containsText" text="m2">
      <formula>NOT(ISERROR(SEARCH("m2",D1503)))</formula>
    </cfRule>
  </conditionalFormatting>
  <conditionalFormatting sqref="D1504">
    <cfRule type="containsText" dxfId="74" priority="145" operator="containsText" text="m2">
      <formula>NOT(ISERROR(SEARCH("m2",D1504)))</formula>
    </cfRule>
  </conditionalFormatting>
  <conditionalFormatting sqref="D1507">
    <cfRule type="containsText" dxfId="73" priority="141" operator="containsText" text="m2">
      <formula>NOT(ISERROR(SEARCH("m2",D1507)))</formula>
    </cfRule>
  </conditionalFormatting>
  <conditionalFormatting sqref="D1506">
    <cfRule type="containsText" dxfId="72" priority="143" operator="containsText" text="m2">
      <formula>NOT(ISERROR(SEARCH("m2",D1506)))</formula>
    </cfRule>
  </conditionalFormatting>
  <conditionalFormatting sqref="D1510">
    <cfRule type="containsText" dxfId="71" priority="139" operator="containsText" text="m2">
      <formula>NOT(ISERROR(SEARCH("m2",D1510)))</formula>
    </cfRule>
  </conditionalFormatting>
  <conditionalFormatting sqref="D1532:D1534">
    <cfRule type="containsText" dxfId="70" priority="137" operator="containsText" text="m2">
      <formula>NOT(ISERROR(SEARCH("m2",D1532)))</formula>
    </cfRule>
  </conditionalFormatting>
  <conditionalFormatting sqref="D1509">
    <cfRule type="containsText" dxfId="69" priority="140" operator="containsText" text="m2">
      <formula>NOT(ISERROR(SEARCH("m2",D1509)))</formula>
    </cfRule>
  </conditionalFormatting>
  <conditionalFormatting sqref="D1511">
    <cfRule type="containsText" dxfId="68" priority="136" operator="containsText" text="m2">
      <formula>NOT(ISERROR(SEARCH("m2",D1511)))</formula>
    </cfRule>
  </conditionalFormatting>
  <conditionalFormatting sqref="D1512">
    <cfRule type="containsText" dxfId="67" priority="135" operator="containsText" text="m2">
      <formula>NOT(ISERROR(SEARCH("m2",D1512)))</formula>
    </cfRule>
  </conditionalFormatting>
  <conditionalFormatting sqref="D1524">
    <cfRule type="containsText" dxfId="66" priority="134" operator="containsText" text="m2">
      <formula>NOT(ISERROR(SEARCH("m2",D1524)))</formula>
    </cfRule>
  </conditionalFormatting>
  <conditionalFormatting sqref="D1526">
    <cfRule type="containsText" dxfId="65" priority="133" operator="containsText" text="m2">
      <formula>NOT(ISERROR(SEARCH("m2",D1526)))</formula>
    </cfRule>
  </conditionalFormatting>
  <conditionalFormatting sqref="D1528">
    <cfRule type="containsText" dxfId="64" priority="132" operator="containsText" text="m2">
      <formula>NOT(ISERROR(SEARCH("m2",D1528)))</formula>
    </cfRule>
  </conditionalFormatting>
  <conditionalFormatting sqref="D1529">
    <cfRule type="containsText" dxfId="63" priority="131" operator="containsText" text="m2">
      <formula>NOT(ISERROR(SEARCH("m2",D1529)))</formula>
    </cfRule>
  </conditionalFormatting>
  <conditionalFormatting sqref="D1531">
    <cfRule type="containsText" dxfId="62" priority="128" operator="containsText" text="m2">
      <formula>NOT(ISERROR(SEARCH("m2",D1531)))</formula>
    </cfRule>
  </conditionalFormatting>
  <conditionalFormatting sqref="D1530">
    <cfRule type="containsText" dxfId="61" priority="129" operator="containsText" text="m2">
      <formula>NOT(ISERROR(SEARCH("m2",D1530)))</formula>
    </cfRule>
  </conditionalFormatting>
  <conditionalFormatting sqref="D1508">
    <cfRule type="containsText" dxfId="60" priority="126" operator="containsText" text="m2">
      <formula>NOT(ISERROR(SEARCH("m2",D1508)))</formula>
    </cfRule>
  </conditionalFormatting>
  <conditionalFormatting sqref="D1508">
    <cfRule type="containsText" dxfId="59" priority="125" operator="containsText" text="m2">
      <formula>NOT(ISERROR(SEARCH("m2",D1508)))</formula>
    </cfRule>
  </conditionalFormatting>
  <conditionalFormatting sqref="D1513">
    <cfRule type="containsText" dxfId="58" priority="124" operator="containsText" text="m2">
      <formula>NOT(ISERROR(SEARCH("m2",D1513)))</formula>
    </cfRule>
  </conditionalFormatting>
  <conditionalFormatting sqref="D1516">
    <cfRule type="containsText" dxfId="57" priority="122" operator="containsText" text="m2">
      <formula>NOT(ISERROR(SEARCH("m2",D1516)))</formula>
    </cfRule>
  </conditionalFormatting>
  <conditionalFormatting sqref="D1518">
    <cfRule type="containsText" dxfId="56" priority="120" operator="containsText" text="m2">
      <formula>NOT(ISERROR(SEARCH("m2",D1518)))</formula>
    </cfRule>
  </conditionalFormatting>
  <conditionalFormatting sqref="D1522">
    <cfRule type="containsText" dxfId="55" priority="116" operator="containsText" text="m2">
      <formula>NOT(ISERROR(SEARCH("m2",D1522)))</formula>
    </cfRule>
  </conditionalFormatting>
  <conditionalFormatting sqref="D1523">
    <cfRule type="containsText" dxfId="54" priority="115" operator="containsText" text="m2">
      <formula>NOT(ISERROR(SEARCH("m2",D1523)))</formula>
    </cfRule>
  </conditionalFormatting>
  <conditionalFormatting sqref="D1525">
    <cfRule type="containsText" dxfId="53" priority="113" operator="containsText" text="m2">
      <formula>NOT(ISERROR(SEARCH("m2",D1525)))</formula>
    </cfRule>
  </conditionalFormatting>
  <conditionalFormatting sqref="D1527">
    <cfRule type="containsText" dxfId="52" priority="111" operator="containsText" text="m2">
      <formula>NOT(ISERROR(SEARCH("m2",D1527)))</formula>
    </cfRule>
  </conditionalFormatting>
  <conditionalFormatting sqref="D1514">
    <cfRule type="containsText" dxfId="51" priority="106" operator="containsText" text="m2">
      <formula>NOT(ISERROR(SEARCH("m2",D1514)))</formula>
    </cfRule>
  </conditionalFormatting>
  <conditionalFormatting sqref="D1515">
    <cfRule type="containsText" dxfId="50" priority="105" operator="containsText" text="m2">
      <formula>NOT(ISERROR(SEARCH("m2",D1515)))</formula>
    </cfRule>
  </conditionalFormatting>
  <conditionalFormatting sqref="D1467:D1468">
    <cfRule type="containsText" dxfId="49" priority="100" operator="containsText" text="m2">
      <formula>NOT(ISERROR(SEARCH("m2",D1467)))</formula>
    </cfRule>
  </conditionalFormatting>
  <conditionalFormatting sqref="D1476:D1477">
    <cfRule type="containsText" dxfId="48" priority="97" operator="containsText" text="m2">
      <formula>NOT(ISERROR(SEARCH("m2",D1476)))</formula>
    </cfRule>
  </conditionalFormatting>
  <conditionalFormatting sqref="D1473:D1474">
    <cfRule type="containsText" dxfId="47" priority="98" operator="containsText" text="m2">
      <formula>NOT(ISERROR(SEARCH("m2",D1473)))</formula>
    </cfRule>
  </conditionalFormatting>
  <conditionalFormatting sqref="D1423:D1424">
    <cfRule type="containsText" dxfId="46" priority="95" operator="containsText" text="m2">
      <formula>NOT(ISERROR(SEARCH("m2",D1423)))</formula>
    </cfRule>
  </conditionalFormatting>
  <conditionalFormatting sqref="D1426:D1428">
    <cfRule type="containsText" dxfId="45" priority="94" operator="containsText" text="m2">
      <formula>NOT(ISERROR(SEARCH("m2",D1426)))</formula>
    </cfRule>
  </conditionalFormatting>
  <conditionalFormatting sqref="D1430:D1431 D1433:D1435">
    <cfRule type="containsText" dxfId="44" priority="93" operator="containsText" text="m2">
      <formula>NOT(ISERROR(SEARCH("m2",D1430)))</formula>
    </cfRule>
  </conditionalFormatting>
  <conditionalFormatting sqref="D1437:D1438">
    <cfRule type="containsText" dxfId="43" priority="92" operator="containsText" text="m2">
      <formula>NOT(ISERROR(SEARCH("m2",D1437)))</formula>
    </cfRule>
  </conditionalFormatting>
  <conditionalFormatting sqref="D1440:D1441">
    <cfRule type="containsText" dxfId="42" priority="90" operator="containsText" text="m2">
      <formula>NOT(ISERROR(SEARCH("m2",D1440)))</formula>
    </cfRule>
  </conditionalFormatting>
  <conditionalFormatting sqref="D1443:D1444">
    <cfRule type="containsText" dxfId="41" priority="89" operator="containsText" text="m2">
      <formula>NOT(ISERROR(SEARCH("m2",D1443)))</formula>
    </cfRule>
  </conditionalFormatting>
  <conditionalFormatting sqref="D1446:D1447">
    <cfRule type="containsText" dxfId="40" priority="88" operator="containsText" text="m2">
      <formula>NOT(ISERROR(SEARCH("m2",D1446)))</formula>
    </cfRule>
  </conditionalFormatting>
  <conditionalFormatting sqref="D1449:D1450">
    <cfRule type="containsText" dxfId="39" priority="87" operator="containsText" text="m2">
      <formula>NOT(ISERROR(SEARCH("m2",D1449)))</formula>
    </cfRule>
  </conditionalFormatting>
  <conditionalFormatting sqref="D1452:D1453">
    <cfRule type="containsText" dxfId="38" priority="86" operator="containsText" text="m2">
      <formula>NOT(ISERROR(SEARCH("m2",D1452)))</formula>
    </cfRule>
  </conditionalFormatting>
  <conditionalFormatting sqref="D1455:D1456">
    <cfRule type="containsText" dxfId="37" priority="85" operator="containsText" text="m2">
      <formula>NOT(ISERROR(SEARCH("m2",D1455)))</formula>
    </cfRule>
  </conditionalFormatting>
  <conditionalFormatting sqref="D1458:D1459">
    <cfRule type="containsText" dxfId="36" priority="84" operator="containsText" text="m2">
      <formula>NOT(ISERROR(SEARCH("m2",D1458)))</formula>
    </cfRule>
  </conditionalFormatting>
  <conditionalFormatting sqref="D1461:D1462">
    <cfRule type="containsText" dxfId="35" priority="83" operator="containsText" text="m2">
      <formula>NOT(ISERROR(SEARCH("m2",D1461)))</formula>
    </cfRule>
  </conditionalFormatting>
  <conditionalFormatting sqref="D1481">
    <cfRule type="containsText" dxfId="34" priority="81" operator="containsText" text="m2">
      <formula>NOT(ISERROR(SEARCH("m2",D1481)))</formula>
    </cfRule>
  </conditionalFormatting>
  <conditionalFormatting sqref="D1483:D1484">
    <cfRule type="containsText" dxfId="33" priority="80" operator="containsText" text="m2">
      <formula>NOT(ISERROR(SEARCH("m2",D1483)))</formula>
    </cfRule>
  </conditionalFormatting>
  <conditionalFormatting sqref="D1486:D1487">
    <cfRule type="containsText" dxfId="32" priority="79" operator="containsText" text="m2">
      <formula>NOT(ISERROR(SEARCH("m2",D1486)))</formula>
    </cfRule>
  </conditionalFormatting>
  <conditionalFormatting sqref="D1490:D1491">
    <cfRule type="containsText" dxfId="31" priority="77" operator="containsText" text="m2">
      <formula>NOT(ISERROR(SEARCH("m2",D1490)))</formula>
    </cfRule>
  </conditionalFormatting>
  <conditionalFormatting sqref="D1495:D1496">
    <cfRule type="containsText" dxfId="30" priority="75" operator="containsText" text="m2">
      <formula>NOT(ISERROR(SEARCH("m2",D1495)))</formula>
    </cfRule>
  </conditionalFormatting>
  <conditionalFormatting sqref="D1420">
    <cfRule type="containsText" dxfId="29" priority="73" operator="containsText" text="m2">
      <formula>NOT(ISERROR(SEARCH("m2",D1420)))</formula>
    </cfRule>
  </conditionalFormatting>
  <conditionalFormatting sqref="D1432">
    <cfRule type="containsText" dxfId="28" priority="72" operator="containsText" text="m2">
      <formula>NOT(ISERROR(SEARCH("m2",D1432)))</formula>
    </cfRule>
  </conditionalFormatting>
  <conditionalFormatting sqref="D96:D98">
    <cfRule type="containsText" dxfId="27" priority="36" operator="containsText" text="m2">
      <formula>NOT(ISERROR(SEARCH("m2",D96)))</formula>
    </cfRule>
  </conditionalFormatting>
  <conditionalFormatting sqref="D277">
    <cfRule type="containsText" dxfId="26" priority="35" operator="containsText" text="m2">
      <formula>NOT(ISERROR(SEARCH("m2",D277)))</formula>
    </cfRule>
  </conditionalFormatting>
  <conditionalFormatting sqref="D295">
    <cfRule type="containsText" dxfId="25" priority="34" operator="containsText" text="m2">
      <formula>NOT(ISERROR(SEARCH("m2",D295)))</formula>
    </cfRule>
  </conditionalFormatting>
  <conditionalFormatting sqref="D287">
    <cfRule type="containsText" dxfId="24" priority="33" operator="containsText" text="m2">
      <formula>NOT(ISERROR(SEARCH("m2",D287)))</formula>
    </cfRule>
  </conditionalFormatting>
  <conditionalFormatting sqref="D283">
    <cfRule type="containsText" dxfId="23" priority="32" operator="containsText" text="m2">
      <formula>NOT(ISERROR(SEARCH("m2",D283)))</formula>
    </cfRule>
  </conditionalFormatting>
  <conditionalFormatting sqref="D1136:D1138">
    <cfRule type="containsText" dxfId="22" priority="31" operator="containsText" text="m2">
      <formula>NOT(ISERROR(SEARCH("m2",D1136)))</formula>
    </cfRule>
  </conditionalFormatting>
  <conditionalFormatting sqref="D1310">
    <cfRule type="containsText" dxfId="21" priority="30" operator="containsText" text="m2">
      <formula>NOT(ISERROR(SEARCH("m2",D1310)))</formula>
    </cfRule>
  </conditionalFormatting>
  <conditionalFormatting sqref="D279">
    <cfRule type="containsText" dxfId="20" priority="29" operator="containsText" text="m2">
      <formula>NOT(ISERROR(SEARCH("m2",D279)))</formula>
    </cfRule>
  </conditionalFormatting>
  <conditionalFormatting sqref="D762:D763 D765">
    <cfRule type="containsText" dxfId="19" priority="21" operator="containsText" text="m2">
      <formula>NOT(ISERROR(SEARCH("m2",D762)))</formula>
    </cfRule>
  </conditionalFormatting>
  <conditionalFormatting sqref="D764">
    <cfRule type="containsText" dxfId="18" priority="20" operator="containsText" text="m2">
      <formula>NOT(ISERROR(SEARCH("m2",D764)))</formula>
    </cfRule>
  </conditionalFormatting>
  <conditionalFormatting sqref="D768">
    <cfRule type="containsText" dxfId="17" priority="18" operator="containsText" text="m2">
      <formula>NOT(ISERROR(SEARCH("m2",D768)))</formula>
    </cfRule>
  </conditionalFormatting>
  <conditionalFormatting sqref="D766">
    <cfRule type="containsText" dxfId="16" priority="19" operator="containsText" text="m2">
      <formula>NOT(ISERROR(SEARCH("m2",D766)))</formula>
    </cfRule>
  </conditionalFormatting>
  <conditionalFormatting sqref="D770">
    <cfRule type="containsText" dxfId="15" priority="17" operator="containsText" text="m2">
      <formula>NOT(ISERROR(SEARCH("m2",D770)))</formula>
    </cfRule>
  </conditionalFormatting>
  <conditionalFormatting sqref="D772">
    <cfRule type="containsText" dxfId="14" priority="16" operator="containsText" text="m2">
      <formula>NOT(ISERROR(SEARCH("m2",D772)))</formula>
    </cfRule>
  </conditionalFormatting>
  <conditionalFormatting sqref="D774">
    <cfRule type="containsText" dxfId="13" priority="15" operator="containsText" text="m2">
      <formula>NOT(ISERROR(SEARCH("m2",D774)))</formula>
    </cfRule>
  </conditionalFormatting>
  <conditionalFormatting sqref="D1280:D1281 D1283">
    <cfRule type="containsText" dxfId="12" priority="14" operator="containsText" text="m2">
      <formula>NOT(ISERROR(SEARCH("m2",D1280)))</formula>
    </cfRule>
  </conditionalFormatting>
  <conditionalFormatting sqref="D1282">
    <cfRule type="containsText" dxfId="11" priority="13" operator="containsText" text="m2">
      <formula>NOT(ISERROR(SEARCH("m2",D1282)))</formula>
    </cfRule>
  </conditionalFormatting>
  <conditionalFormatting sqref="D1286">
    <cfRule type="containsText" dxfId="10" priority="11" operator="containsText" text="m2">
      <formula>NOT(ISERROR(SEARCH("m2",D1286)))</formula>
    </cfRule>
  </conditionalFormatting>
  <conditionalFormatting sqref="D1284">
    <cfRule type="containsText" dxfId="9" priority="12" operator="containsText" text="m2">
      <formula>NOT(ISERROR(SEARCH("m2",D1284)))</formula>
    </cfRule>
  </conditionalFormatting>
  <conditionalFormatting sqref="D1288">
    <cfRule type="containsText" dxfId="8" priority="10" operator="containsText" text="m2">
      <formula>NOT(ISERROR(SEARCH("m2",D1288)))</formula>
    </cfRule>
  </conditionalFormatting>
  <conditionalFormatting sqref="D1290">
    <cfRule type="containsText" dxfId="7" priority="9" operator="containsText" text="m2">
      <formula>NOT(ISERROR(SEARCH("m2",D1290)))</formula>
    </cfRule>
  </conditionalFormatting>
  <conditionalFormatting sqref="D1292">
    <cfRule type="containsText" dxfId="6" priority="8" operator="containsText" text="m2">
      <formula>NOT(ISERROR(SEARCH("m2",D1292)))</formula>
    </cfRule>
  </conditionalFormatting>
  <conditionalFormatting sqref="D94">
    <cfRule type="containsText" dxfId="5" priority="7" operator="containsText" text="m2">
      <formula>NOT(ISERROR(SEARCH("m2",D94)))</formula>
    </cfRule>
  </conditionalFormatting>
  <conditionalFormatting sqref="D92">
    <cfRule type="containsText" dxfId="4" priority="6" operator="containsText" text="m2">
      <formula>NOT(ISERROR(SEARCH("m2",D92)))</formula>
    </cfRule>
  </conditionalFormatting>
  <conditionalFormatting sqref="D837:D838">
    <cfRule type="containsText" dxfId="3" priority="5" operator="containsText" text="m2">
      <formula>NOT(ISERROR(SEARCH("m2",D837)))</formula>
    </cfRule>
  </conditionalFormatting>
  <conditionalFormatting sqref="K1398">
    <cfRule type="containsText" dxfId="2" priority="3" operator="containsText" text="m2">
      <formula>NOT(ISERROR(SEARCH("m2",K1398)))</formula>
    </cfRule>
  </conditionalFormatting>
  <conditionalFormatting sqref="D1045">
    <cfRule type="containsText" dxfId="1" priority="2" operator="containsText" text="m2">
      <formula>NOT(ISERROR(SEARCH("m2",D1045)))</formula>
    </cfRule>
  </conditionalFormatting>
  <conditionalFormatting sqref="D593:D601">
    <cfRule type="containsText" dxfId="0" priority="1" operator="containsText" text="m2">
      <formula>NOT(ISERROR(SEARCH("m2",D593)))</formula>
    </cfRule>
  </conditionalFormatting>
  <pageMargins left="0.51181102362204722" right="0.51181102362204722" top="0.78740157480314965" bottom="0.78740157480314965" header="0.31496062992125984" footer="0.31496062992125984"/>
  <pageSetup paperSize="9" scale="35" fitToHeight="0"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L323"/>
  <sheetViews>
    <sheetView showGridLines="0" tabSelected="1" view="pageBreakPreview" topLeftCell="A242" zoomScale="70" zoomScaleNormal="70" zoomScaleSheetLayoutView="70" zoomScalePageLayoutView="60" workbookViewId="0">
      <selection activeCell="I250" sqref="I250"/>
    </sheetView>
  </sheetViews>
  <sheetFormatPr defaultColWidth="9.140625" defaultRowHeight="14.25" x14ac:dyDescent="0.25"/>
  <cols>
    <col min="1" max="1" width="9.140625" style="9" customWidth="1"/>
    <col min="2" max="2" width="6.7109375" style="4" bestFit="1" customWidth="1"/>
    <col min="3" max="3" width="11.140625" style="4" customWidth="1"/>
    <col min="4" max="4" width="20.7109375" style="17" bestFit="1" customWidth="1"/>
    <col min="5" max="5" width="139.28515625" style="6" bestFit="1" customWidth="1"/>
    <col min="6" max="6" width="7.28515625" style="3" bestFit="1" customWidth="1"/>
    <col min="7" max="7" width="16.140625" style="3" bestFit="1" customWidth="1"/>
    <col min="8" max="8" width="14.140625" style="20" bestFit="1" customWidth="1"/>
    <col min="9" max="9" width="22.28515625" style="20" bestFit="1" customWidth="1"/>
    <col min="10" max="10" width="20.140625" style="7" bestFit="1" customWidth="1"/>
    <col min="11" max="11" width="19" style="4" customWidth="1"/>
    <col min="12" max="12" width="7.85546875" style="9" bestFit="1" customWidth="1"/>
    <col min="13" max="16384" width="9.140625" style="9"/>
  </cols>
  <sheetData>
    <row r="1" spans="2:11" ht="15.6" customHeight="1" x14ac:dyDescent="0.25">
      <c r="B1" s="469"/>
      <c r="C1" s="485"/>
      <c r="D1" s="485"/>
      <c r="E1" s="883" t="s">
        <v>0</v>
      </c>
      <c r="F1" s="883"/>
      <c r="G1" s="883"/>
      <c r="H1" s="883"/>
      <c r="I1" s="883"/>
      <c r="J1" s="884"/>
      <c r="K1" s="882"/>
    </row>
    <row r="2" spans="2:11" ht="15.6" customHeight="1" x14ac:dyDescent="0.25">
      <c r="B2" s="486"/>
      <c r="C2" s="487"/>
      <c r="D2" s="487"/>
      <c r="E2" s="801" t="s">
        <v>1</v>
      </c>
      <c r="F2" s="801"/>
      <c r="G2" s="801"/>
      <c r="H2" s="801"/>
      <c r="I2" s="801"/>
      <c r="J2" s="802"/>
      <c r="K2" s="882"/>
    </row>
    <row r="3" spans="2:11" ht="15.6" customHeight="1" x14ac:dyDescent="0.25">
      <c r="B3" s="463"/>
      <c r="C3" s="464"/>
      <c r="E3" s="801" t="s">
        <v>2</v>
      </c>
      <c r="F3" s="801"/>
      <c r="G3" s="801"/>
      <c r="H3" s="801"/>
      <c r="I3" s="801"/>
      <c r="J3" s="802"/>
      <c r="K3" s="882"/>
    </row>
    <row r="4" spans="2:11" ht="15.6" customHeight="1" x14ac:dyDescent="0.25">
      <c r="B4" s="486"/>
      <c r="C4" s="264"/>
      <c r="D4" s="264"/>
      <c r="E4" s="781" t="s">
        <v>1171</v>
      </c>
      <c r="F4" s="801"/>
      <c r="G4" s="801"/>
      <c r="H4" s="801"/>
      <c r="I4" s="801"/>
      <c r="J4" s="802"/>
      <c r="K4" s="882"/>
    </row>
    <row r="5" spans="2:11" ht="13.9" customHeight="1" x14ac:dyDescent="0.25">
      <c r="B5" s="486"/>
      <c r="C5" s="487"/>
      <c r="D5" s="487"/>
      <c r="E5" s="781" t="s">
        <v>4</v>
      </c>
      <c r="F5" s="801"/>
      <c r="G5" s="801"/>
      <c r="H5" s="801"/>
      <c r="I5" s="801"/>
      <c r="J5" s="802"/>
      <c r="K5" s="882"/>
    </row>
    <row r="6" spans="2:11" ht="13.9" customHeight="1" x14ac:dyDescent="0.25">
      <c r="B6" s="461"/>
      <c r="C6" s="462"/>
      <c r="E6" s="781" t="s">
        <v>1172</v>
      </c>
      <c r="F6" s="801"/>
      <c r="G6" s="801"/>
      <c r="H6" s="801"/>
      <c r="I6" s="801"/>
      <c r="J6" s="802"/>
    </row>
    <row r="7" spans="2:11" ht="13.9" customHeight="1" x14ac:dyDescent="0.25">
      <c r="B7" s="461"/>
      <c r="C7" s="462"/>
      <c r="E7" s="781" t="s">
        <v>6</v>
      </c>
      <c r="F7" s="781"/>
      <c r="G7" s="781"/>
      <c r="H7" s="781"/>
      <c r="I7" s="781"/>
      <c r="J7" s="782"/>
    </row>
    <row r="8" spans="2:11" ht="13.9" customHeight="1" thickBot="1" x14ac:dyDescent="0.3">
      <c r="B8" s="488"/>
      <c r="C8" s="489"/>
      <c r="D8" s="490"/>
      <c r="E8" s="879" t="s">
        <v>5</v>
      </c>
      <c r="F8" s="880"/>
      <c r="G8" s="880"/>
      <c r="H8" s="880"/>
      <c r="I8" s="880"/>
      <c r="J8" s="881"/>
    </row>
    <row r="9" spans="2:11" ht="18.75" thickBot="1" x14ac:dyDescent="0.3">
      <c r="B9" s="459"/>
      <c r="C9" s="491"/>
      <c r="D9" s="491"/>
      <c r="E9" s="789" t="s">
        <v>1104</v>
      </c>
      <c r="F9" s="789"/>
      <c r="G9" s="789"/>
      <c r="H9" s="789"/>
      <c r="I9" s="789"/>
      <c r="J9" s="790"/>
    </row>
    <row r="10" spans="2:11" ht="16.5" thickBot="1" x14ac:dyDescent="0.3">
      <c r="B10" s="265" t="s">
        <v>8</v>
      </c>
      <c r="C10" s="266" t="s">
        <v>1105</v>
      </c>
      <c r="D10" s="265" t="s">
        <v>1106</v>
      </c>
      <c r="E10" s="267" t="s">
        <v>1107</v>
      </c>
      <c r="F10" s="268" t="s">
        <v>10</v>
      </c>
      <c r="G10" s="268" t="s">
        <v>1053</v>
      </c>
      <c r="H10" s="269" t="s">
        <v>1108</v>
      </c>
      <c r="I10" s="270" t="s">
        <v>1109</v>
      </c>
      <c r="J10" s="271" t="s">
        <v>14</v>
      </c>
    </row>
    <row r="11" spans="2:11" s="42" customFormat="1" ht="15.75" x14ac:dyDescent="0.25">
      <c r="B11" s="703" t="s">
        <v>11</v>
      </c>
      <c r="C11" s="704"/>
      <c r="D11" s="704"/>
      <c r="E11" s="704"/>
      <c r="F11" s="704"/>
      <c r="G11" s="704"/>
      <c r="H11" s="704"/>
      <c r="I11" s="704"/>
      <c r="J11" s="61">
        <f>SUM(J13:J26)</f>
        <v>0</v>
      </c>
      <c r="K11" s="649" t="e">
        <f>(J11*100%)/$J$310</f>
        <v>#DIV/0!</v>
      </c>
    </row>
    <row r="12" spans="2:11" ht="15" x14ac:dyDescent="0.25">
      <c r="B12" s="10">
        <v>1</v>
      </c>
      <c r="C12" s="868" t="s">
        <v>13</v>
      </c>
      <c r="D12" s="852"/>
      <c r="E12" s="852"/>
      <c r="F12" s="852"/>
      <c r="G12" s="852"/>
      <c r="H12" s="852"/>
      <c r="I12" s="852"/>
      <c r="J12" s="853"/>
      <c r="K12" s="649" t="e">
        <f t="shared" ref="K12:K75" si="0">(J12*100%)/$J$310</f>
        <v>#DIV/0!</v>
      </c>
    </row>
    <row r="13" spans="2:11" ht="15" x14ac:dyDescent="0.25">
      <c r="B13" s="147" t="s">
        <v>15</v>
      </c>
      <c r="C13" s="148" t="s">
        <v>1110</v>
      </c>
      <c r="D13" s="587" t="str">
        <f>VLOOKUP(B13,'MEMÓRIA DE CÁLCULO'!$B:$H,2,)</f>
        <v>020101</v>
      </c>
      <c r="E13" s="228" t="str">
        <f>VLOOKUP(B13,'MEMÓRIA DE CÁLCULO'!$B:$H,3,)</f>
        <v>DEMOLIÇÃO COBERTURA TELHA CERÂMICA C/ TRANSP. ATÉ CB. E CARGA</v>
      </c>
      <c r="F13" s="150" t="s">
        <v>17</v>
      </c>
      <c r="G13" s="172">
        <f>VLOOKUP(B13,'MEMÓRIA DE CÁLCULO'!$B:$H,7,)</f>
        <v>134.435</v>
      </c>
      <c r="H13" s="64"/>
      <c r="I13" s="173"/>
      <c r="J13" s="174"/>
      <c r="K13" s="649" t="e">
        <f t="shared" si="0"/>
        <v>#DIV/0!</v>
      </c>
    </row>
    <row r="14" spans="2:11" ht="15" x14ac:dyDescent="0.25">
      <c r="B14" s="81" t="s">
        <v>25</v>
      </c>
      <c r="C14" s="62" t="s">
        <v>1110</v>
      </c>
      <c r="D14" s="587">
        <f>VLOOKUP(B14,'MEMÓRIA DE CÁLCULO'!$B:$H,2,)</f>
        <v>20103</v>
      </c>
      <c r="E14" s="228" t="str">
        <f>VLOOKUP(B14,'MEMÓRIA DE CÁLCULO'!$B:$H,3,)</f>
        <v>DEMOLIÇÃO ESTRUTURA EM MADEIRA TELHADO C/ TRANSP. ATÉ CB. E CARGA</v>
      </c>
      <c r="F14" s="63" t="s">
        <v>17</v>
      </c>
      <c r="G14" s="67">
        <f>VLOOKUP(B14,'MEMÓRIA DE CÁLCULO'!$B:$H,7,)</f>
        <v>183.26000000000002</v>
      </c>
      <c r="H14" s="64"/>
      <c r="I14" s="64"/>
      <c r="J14" s="82"/>
      <c r="K14" s="649" t="e">
        <f t="shared" si="0"/>
        <v>#DIV/0!</v>
      </c>
    </row>
    <row r="15" spans="2:11" ht="15" x14ac:dyDescent="0.25">
      <c r="B15" s="81" t="s">
        <v>31</v>
      </c>
      <c r="C15" s="62" t="s">
        <v>1110</v>
      </c>
      <c r="D15" s="588">
        <f>VLOOKUP(B15,'MEMÓRIA DE CÁLCULO'!$B:$H,2,)</f>
        <v>20109</v>
      </c>
      <c r="E15" s="228" t="str">
        <f>VLOOKUP(B15,'MEMÓRIA DE CÁLCULO'!$B:$H,3,)</f>
        <v>DEMOLIÇÃO MANUAL DE PISO CIMENT.SOBRE LASTRO CONC.C/TR.ATÉ CB. E CARGA</v>
      </c>
      <c r="F15" s="63" t="s">
        <v>17</v>
      </c>
      <c r="G15" s="67">
        <f>VLOOKUP(B15,'MEMÓRIA DE CÁLCULO'!$B:$H,7,)</f>
        <v>134.185</v>
      </c>
      <c r="H15" s="64"/>
      <c r="I15" s="64"/>
      <c r="J15" s="82"/>
      <c r="K15" s="649" t="e">
        <f t="shared" si="0"/>
        <v>#DIV/0!</v>
      </c>
    </row>
    <row r="16" spans="2:11" ht="15" x14ac:dyDescent="0.25">
      <c r="B16" s="81" t="s">
        <v>33</v>
      </c>
      <c r="C16" s="62" t="s">
        <v>1110</v>
      </c>
      <c r="D16" s="588">
        <f>VLOOKUP(B16,'MEMÓRIA DE CÁLCULO'!$B:$H,2,)</f>
        <v>20115</v>
      </c>
      <c r="E16" s="228" t="str">
        <f>VLOOKUP(B16,'MEMÓRIA DE CÁLCULO'!$B:$H,3,)</f>
        <v>DEMOLIÇÃO MANUAL DE REVESTIMENTOS COM AZULEJO C/TRANSP. ATÉ CB. E CARGA</v>
      </c>
      <c r="F16" s="63" t="s">
        <v>17</v>
      </c>
      <c r="G16" s="67">
        <f>VLOOKUP(B16,'MEMÓRIA DE CÁLCULO'!$B:$H,7,)</f>
        <v>17.899999999999999</v>
      </c>
      <c r="H16" s="64"/>
      <c r="I16" s="64"/>
      <c r="J16" s="82"/>
      <c r="K16" s="649" t="e">
        <f t="shared" si="0"/>
        <v>#DIV/0!</v>
      </c>
    </row>
    <row r="17" spans="2:11" ht="15" x14ac:dyDescent="0.25">
      <c r="B17" s="81" t="s">
        <v>38</v>
      </c>
      <c r="C17" s="62" t="s">
        <v>1110</v>
      </c>
      <c r="D17" s="588">
        <f>VLOOKUP(B17,'MEMÓRIA DE CÁLCULO'!$B:$H,2,)</f>
        <v>20117</v>
      </c>
      <c r="E17" s="228" t="str">
        <f>VLOOKUP(B17,'MEMÓRIA DE CÁLCULO'!$B:$H,3,)</f>
        <v>DEMOLIÇÃO MANUAL DE REVESTIMENTO C/ARGAMASSA C/TR.ATÉ CB.E CARGA</v>
      </c>
      <c r="F17" s="63" t="s">
        <v>17</v>
      </c>
      <c r="G17" s="67">
        <f>VLOOKUP(B17,'MEMÓRIA DE CÁLCULO'!$B:$H,7,)</f>
        <v>269.83999999999997</v>
      </c>
      <c r="H17" s="64"/>
      <c r="I17" s="64"/>
      <c r="J17" s="82"/>
      <c r="K17" s="649" t="e">
        <f t="shared" si="0"/>
        <v>#DIV/0!</v>
      </c>
    </row>
    <row r="18" spans="2:11" ht="15" x14ac:dyDescent="0.25">
      <c r="B18" s="81" t="s">
        <v>46</v>
      </c>
      <c r="C18" s="62" t="s">
        <v>1110</v>
      </c>
      <c r="D18" s="588">
        <f>VLOOKUP(B18,'MEMÓRIA DE CÁLCULO'!$B:$H,2,)</f>
        <v>20118</v>
      </c>
      <c r="E18" s="228" t="str">
        <f>VLOOKUP(B18,'MEMÓRIA DE CÁLCULO'!$B:$H,3,)</f>
        <v>DEMOLIÇÃO MANUAL ALVENARIA TIJOLO S/REAP. C/TR.ATÉ CB. E CARGA</v>
      </c>
      <c r="F18" s="63" t="s">
        <v>48</v>
      </c>
      <c r="G18" s="67">
        <f>VLOOKUP(B18,'MEMÓRIA DE CÁLCULO'!$B:$H,7,)</f>
        <v>248.44000000000003</v>
      </c>
      <c r="H18" s="64"/>
      <c r="I18" s="64"/>
      <c r="J18" s="82"/>
      <c r="K18" s="649" t="e">
        <f t="shared" si="0"/>
        <v>#DIV/0!</v>
      </c>
    </row>
    <row r="19" spans="2:11" ht="15" x14ac:dyDescent="0.25">
      <c r="B19" s="81" t="s">
        <v>56</v>
      </c>
      <c r="C19" s="62" t="s">
        <v>1110</v>
      </c>
      <c r="D19" s="588">
        <f>VLOOKUP(B19,'MEMÓRIA DE CÁLCULO'!$B:$H,2,)</f>
        <v>20121</v>
      </c>
      <c r="E19" s="228" t="str">
        <f>VLOOKUP(B19,'MEMÓRIA DE CÁLCULO'!$B:$H,3,)</f>
        <v>DEMOLIÇÃO MANUAL EM CONCRETO SIMPLES C/TR.ATÉ CB.E CARGA (O.C)</v>
      </c>
      <c r="F19" s="63" t="s">
        <v>48</v>
      </c>
      <c r="G19" s="67">
        <f>VLOOKUP(B19,'MEMÓRIA DE CÁLCULO'!$B:$H,7,)</f>
        <v>11.7</v>
      </c>
      <c r="H19" s="64"/>
      <c r="I19" s="64"/>
      <c r="J19" s="82"/>
      <c r="K19" s="649" t="e">
        <f t="shared" si="0"/>
        <v>#DIV/0!</v>
      </c>
    </row>
    <row r="20" spans="2:11" ht="15" x14ac:dyDescent="0.25">
      <c r="B20" s="81" t="s">
        <v>61</v>
      </c>
      <c r="C20" s="62" t="s">
        <v>1110</v>
      </c>
      <c r="D20" s="588">
        <f>VLOOKUP(B20,'MEMÓRIA DE CÁLCULO'!$B:$H,2,)</f>
        <v>20164</v>
      </c>
      <c r="E20" s="228" t="str">
        <f>VLOOKUP(B20,'MEMÓRIA DE CÁLCULO'!$B:$H,3,)</f>
        <v>REMOÇÃO MANUAL DE TUBULAÇÃO (TUBO E CONEXÃO) C/ TRANSP. ATÉ CB. E CARGA (EXCLUSO RASGOS E ESCAVAÇÕES)</v>
      </c>
      <c r="F20" s="63" t="s">
        <v>63</v>
      </c>
      <c r="G20" s="67">
        <f>VLOOKUP(B20,'MEMÓRIA DE CÁLCULO'!$B:$H,7,)</f>
        <v>7</v>
      </c>
      <c r="H20" s="64"/>
      <c r="I20" s="64"/>
      <c r="J20" s="82"/>
      <c r="K20" s="649" t="e">
        <f t="shared" si="0"/>
        <v>#DIV/0!</v>
      </c>
    </row>
    <row r="21" spans="2:11" ht="15" x14ac:dyDescent="0.25">
      <c r="B21" s="81" t="s">
        <v>65</v>
      </c>
      <c r="C21" s="62" t="s">
        <v>1110</v>
      </c>
      <c r="D21" s="588">
        <f>VLOOKUP(B21,'MEMÓRIA DE CÁLCULO'!$B:$H,2,)</f>
        <v>20167</v>
      </c>
      <c r="E21" s="228" t="str">
        <f>VLOOKUP(B21,'MEMÓRIA DE CÁLCULO'!$B:$H,3,)</f>
        <v>REMOÇÃO MANUAL DE LUMINÁRIA C/ TRANSP. ATÉ CB. E CARGA</v>
      </c>
      <c r="F21" s="63" t="s">
        <v>67</v>
      </c>
      <c r="G21" s="67">
        <f>VLOOKUP(B21,'MEMÓRIA DE CÁLCULO'!$B:$H,7,)</f>
        <v>5</v>
      </c>
      <c r="H21" s="64"/>
      <c r="I21" s="66"/>
      <c r="J21" s="82"/>
      <c r="K21" s="649" t="e">
        <f t="shared" si="0"/>
        <v>#DIV/0!</v>
      </c>
    </row>
    <row r="22" spans="2:11" ht="15" x14ac:dyDescent="0.25">
      <c r="B22" s="81" t="s">
        <v>70</v>
      </c>
      <c r="C22" s="62" t="s">
        <v>1110</v>
      </c>
      <c r="D22" s="588">
        <f>VLOOKUP(B22,'MEMÓRIA DE CÁLCULO'!$B:$H,2,)</f>
        <v>20168</v>
      </c>
      <c r="E22" s="228" t="str">
        <f>VLOOKUP(B22,'MEMÓRIA DE CÁLCULO'!$B:$H,3,)</f>
        <v>REMOÇÃO MANUAL DE INTERRUPTOR/TOMADA ELÉTRICA/DISJUNTOR C/ TRANSP. ATÉ CB. E CARGA</v>
      </c>
      <c r="F22" s="63" t="s">
        <v>67</v>
      </c>
      <c r="G22" s="67">
        <f>VLOOKUP(B22,'MEMÓRIA DE CÁLCULO'!$B:$H,7,)</f>
        <v>8</v>
      </c>
      <c r="H22" s="64"/>
      <c r="I22" s="64"/>
      <c r="J22" s="82"/>
      <c r="K22" s="649" t="e">
        <f t="shared" si="0"/>
        <v>#DIV/0!</v>
      </c>
    </row>
    <row r="23" spans="2:11" ht="15" x14ac:dyDescent="0.25">
      <c r="B23" s="81" t="s">
        <v>72</v>
      </c>
      <c r="C23" s="62" t="s">
        <v>1110</v>
      </c>
      <c r="D23" s="588">
        <f>VLOOKUP(B23,'MEMÓRIA DE CÁLCULO'!$B:$H,2,)</f>
        <v>20140</v>
      </c>
      <c r="E23" s="228" t="str">
        <f>VLOOKUP(B23,'MEMÓRIA DE CÁLCULO'!$B:$H,3,)</f>
        <v>REMOÇÃO MANUAL DE METAL SANITÁRIO (VÁLVULAS/SIFÃO/REGISTROS/TORNEIRAS/ OUTROS) C/ TRANSP. ATÉ CB. E CARGA</v>
      </c>
      <c r="F23" s="63" t="s">
        <v>67</v>
      </c>
      <c r="G23" s="67">
        <f>VLOOKUP(B23,'MEMÓRIA DE CÁLCULO'!$B:$H,7,)</f>
        <v>9</v>
      </c>
      <c r="H23" s="64"/>
      <c r="I23" s="64"/>
      <c r="J23" s="82"/>
      <c r="K23" s="649" t="e">
        <f t="shared" si="0"/>
        <v>#DIV/0!</v>
      </c>
    </row>
    <row r="24" spans="2:11" ht="15" x14ac:dyDescent="0.25">
      <c r="B24" s="81" t="s">
        <v>75</v>
      </c>
      <c r="C24" s="62" t="s">
        <v>1110</v>
      </c>
      <c r="D24" s="588">
        <f>VLOOKUP(B24,'MEMÓRIA DE CÁLCULO'!$B:$H,2,)</f>
        <v>21301</v>
      </c>
      <c r="E24" s="228" t="str">
        <f>VLOOKUP(B24,'MEMÓRIA DE CÁLCULO'!$B:$H,3,)</f>
        <v>PLACA DE OBRA PLOTADA EM CHAPA METÁLICA 26 , AFIXADA EM CAVALETES DE MADEIRA DE LEI (VIGOTAS 6X12CM) - PADRÃO GOINFRA</v>
      </c>
      <c r="F24" s="63" t="s">
        <v>17</v>
      </c>
      <c r="G24" s="67">
        <f>VLOOKUP(B24,'MEMÓRIA DE CÁLCULO'!$B:$H,7,)</f>
        <v>3</v>
      </c>
      <c r="H24" s="64"/>
      <c r="I24" s="64"/>
      <c r="J24" s="82"/>
      <c r="K24" s="649" t="e">
        <f t="shared" si="0"/>
        <v>#DIV/0!</v>
      </c>
    </row>
    <row r="25" spans="2:11" ht="15" x14ac:dyDescent="0.25">
      <c r="B25" s="81" t="s">
        <v>78</v>
      </c>
      <c r="C25" s="62" t="s">
        <v>1111</v>
      </c>
      <c r="D25" s="588" t="str">
        <f>VLOOKUP(B25,'MEMÓRIA DE CÁLCULO'!$B:$H,2,)</f>
        <v>SINAPI 97627</v>
      </c>
      <c r="E25" s="228" t="str">
        <f>VLOOKUP(B25,'MEMÓRIA DE CÁLCULO'!$B:$H,3,)</f>
        <v>DEMOLIÇÃO DE PILARES E VIGAS EM CONCRETO ARMADO, DE FORMA MECANIZADA</v>
      </c>
      <c r="F25" s="63" t="s">
        <v>17</v>
      </c>
      <c r="G25" s="67">
        <f>VLOOKUP(B25,'MEMÓRIA DE CÁLCULO'!$B:$H,7,)</f>
        <v>0.69300000000000006</v>
      </c>
      <c r="H25" s="64"/>
      <c r="I25" s="64"/>
      <c r="J25" s="82"/>
      <c r="K25" s="649" t="e">
        <f t="shared" si="0"/>
        <v>#DIV/0!</v>
      </c>
    </row>
    <row r="26" spans="2:11" ht="15" x14ac:dyDescent="0.25">
      <c r="B26" s="81" t="s">
        <v>84</v>
      </c>
      <c r="C26" s="62" t="s">
        <v>1111</v>
      </c>
      <c r="D26" s="588" t="str">
        <f>VLOOKUP(B26,'MEMÓRIA DE CÁLCULO'!$B:$H,2,)</f>
        <v>SINAPI 98524</v>
      </c>
      <c r="E26" s="228" t="str">
        <f>VLOOKUP(B26,'MEMÓRIA DE CÁLCULO'!$B:$H,3,)</f>
        <v>LIMPEZA MANUAL DE VEGETAÇÃO EM TERRENO COM ENXADA.</v>
      </c>
      <c r="F26" s="63" t="s">
        <v>17</v>
      </c>
      <c r="G26" s="67">
        <f>VLOOKUP(B26,'MEMÓRIA DE CÁLCULO'!$B:$H,7,)</f>
        <v>562.5</v>
      </c>
      <c r="H26" s="64"/>
      <c r="I26" s="64"/>
      <c r="J26" s="82"/>
      <c r="K26" s="649" t="e">
        <f t="shared" si="0"/>
        <v>#DIV/0!</v>
      </c>
    </row>
    <row r="27" spans="2:11" ht="15" x14ac:dyDescent="0.25">
      <c r="B27" s="14"/>
      <c r="D27" s="247"/>
      <c r="E27" s="248"/>
      <c r="G27" s="249"/>
      <c r="H27" s="133"/>
      <c r="I27" s="133"/>
      <c r="J27" s="134"/>
      <c r="K27" s="649" t="e">
        <f t="shared" si="0"/>
        <v>#DIV/0!</v>
      </c>
    </row>
    <row r="28" spans="2:11" ht="15" x14ac:dyDescent="0.25">
      <c r="B28" s="849" t="s">
        <v>1112</v>
      </c>
      <c r="C28" s="850"/>
      <c r="D28" s="850"/>
      <c r="E28" s="850"/>
      <c r="F28" s="850"/>
      <c r="G28" s="850"/>
      <c r="H28" s="850"/>
      <c r="I28" s="851"/>
      <c r="J28" s="36">
        <f>SUM(J30)</f>
        <v>0</v>
      </c>
      <c r="K28" s="649" t="e">
        <f t="shared" si="0"/>
        <v>#DIV/0!</v>
      </c>
    </row>
    <row r="29" spans="2:11" ht="15" x14ac:dyDescent="0.25">
      <c r="B29" s="10">
        <v>2</v>
      </c>
      <c r="C29" s="847" t="s">
        <v>90</v>
      </c>
      <c r="D29" s="847"/>
      <c r="E29" s="847"/>
      <c r="F29" s="847"/>
      <c r="G29" s="847"/>
      <c r="H29" s="847"/>
      <c r="I29" s="847"/>
      <c r="J29" s="848"/>
      <c r="K29" s="649" t="e">
        <f t="shared" si="0"/>
        <v>#DIV/0!</v>
      </c>
    </row>
    <row r="30" spans="2:11" ht="15" x14ac:dyDescent="0.25">
      <c r="B30" s="147" t="s">
        <v>91</v>
      </c>
      <c r="C30" s="148" t="s">
        <v>1110</v>
      </c>
      <c r="D30" s="148">
        <f>VLOOKUP($B$30,'MEMÓRIA DE CÁLCULO'!$B:$H,2,)</f>
        <v>30104</v>
      </c>
      <c r="E30" s="175" t="str">
        <f>VLOOKUP($B$30,'MEMÓRIA DE CÁLCULO'!$B:$H,3,)</f>
        <v>TRANSPORTE DE ENTULHO CAÇAMBA ESTACIONÁRIA SEM CARGA (EMPOLAMENTO 30%)</v>
      </c>
      <c r="F30" s="150" t="s">
        <v>48</v>
      </c>
      <c r="G30" s="172">
        <f>VLOOKUP(B30,'MEMÓRIA DE CÁLCULO'!B:H,7,)</f>
        <v>47.291139999999999</v>
      </c>
      <c r="H30" s="176"/>
      <c r="I30" s="176"/>
      <c r="J30" s="177"/>
      <c r="K30" s="649" t="e">
        <f t="shared" si="0"/>
        <v>#DIV/0!</v>
      </c>
    </row>
    <row r="31" spans="2:11" ht="15" x14ac:dyDescent="0.25">
      <c r="B31" s="867"/>
      <c r="C31" s="863"/>
      <c r="D31" s="863"/>
      <c r="E31" s="863"/>
      <c r="F31" s="863"/>
      <c r="G31" s="863"/>
      <c r="H31" s="863"/>
      <c r="I31" s="863"/>
      <c r="J31" s="864"/>
      <c r="K31" s="649" t="e">
        <f t="shared" si="0"/>
        <v>#DIV/0!</v>
      </c>
    </row>
    <row r="32" spans="2:11" ht="15" x14ac:dyDescent="0.25">
      <c r="B32" s="849" t="s">
        <v>1113</v>
      </c>
      <c r="C32" s="850"/>
      <c r="D32" s="850"/>
      <c r="E32" s="850"/>
      <c r="F32" s="850"/>
      <c r="G32" s="850"/>
      <c r="H32" s="850"/>
      <c r="I32" s="851"/>
      <c r="J32" s="36">
        <f>SUM(J34:J35)</f>
        <v>0</v>
      </c>
      <c r="K32" s="649" t="e">
        <f t="shared" si="0"/>
        <v>#DIV/0!</v>
      </c>
    </row>
    <row r="33" spans="2:11" ht="15" x14ac:dyDescent="0.25">
      <c r="B33" s="10">
        <v>3</v>
      </c>
      <c r="C33" s="847" t="s">
        <v>109</v>
      </c>
      <c r="D33" s="847"/>
      <c r="E33" s="847"/>
      <c r="F33" s="847"/>
      <c r="G33" s="847"/>
      <c r="H33" s="847"/>
      <c r="I33" s="847"/>
      <c r="J33" s="848"/>
      <c r="K33" s="649" t="e">
        <f t="shared" si="0"/>
        <v>#DIV/0!</v>
      </c>
    </row>
    <row r="34" spans="2:11" ht="15" x14ac:dyDescent="0.25">
      <c r="B34" s="147" t="s">
        <v>110</v>
      </c>
      <c r="C34" s="148" t="s">
        <v>1110</v>
      </c>
      <c r="D34" s="148">
        <f>VLOOKUP(B34,'MEMÓRIA DE CÁLCULO'!B:H,2,)</f>
        <v>40103</v>
      </c>
      <c r="E34" s="149" t="str">
        <f>VLOOKUP(B34,'MEMÓRIA DE CÁLCULO'!B:H,3,)</f>
        <v>ESCAVAÇÃO MANUAL DE VALAS PROF.1 A 2 M</v>
      </c>
      <c r="F34" s="150" t="s">
        <v>48</v>
      </c>
      <c r="G34" s="172">
        <f>VLOOKUP(B34,'MEMÓRIA DE CÁLCULO'!B:H,7,)</f>
        <v>1.7039999999999997</v>
      </c>
      <c r="H34" s="176"/>
      <c r="I34" s="176"/>
      <c r="J34" s="177"/>
      <c r="K34" s="649" t="e">
        <f t="shared" si="0"/>
        <v>#DIV/0!</v>
      </c>
    </row>
    <row r="35" spans="2:11" ht="15" x14ac:dyDescent="0.25">
      <c r="B35" s="81" t="s">
        <v>114</v>
      </c>
      <c r="C35" s="62" t="s">
        <v>1110</v>
      </c>
      <c r="D35" s="62">
        <f>VLOOKUP(B35,'MEMÓRIA DE CÁLCULO'!B:H,2,)</f>
        <v>41002</v>
      </c>
      <c r="E35" s="65" t="str">
        <f>VLOOKUP(B35,'MEMÓRIA DE CÁLCULO'!B:H,3,)</f>
        <v xml:space="preserve">APILOAMENTO </v>
      </c>
      <c r="F35" s="63" t="s">
        <v>48</v>
      </c>
      <c r="G35" s="67">
        <f>VLOOKUP(B35,'MEMÓRIA DE CÁLCULO'!B:H,7,)</f>
        <v>0.56799999999999995</v>
      </c>
      <c r="H35" s="68"/>
      <c r="I35" s="68"/>
      <c r="J35" s="83"/>
      <c r="K35" s="649" t="e">
        <f t="shared" si="0"/>
        <v>#DIV/0!</v>
      </c>
    </row>
    <row r="36" spans="2:11" ht="15" x14ac:dyDescent="0.25">
      <c r="B36" s="867"/>
      <c r="C36" s="863"/>
      <c r="D36" s="863"/>
      <c r="E36" s="863"/>
      <c r="F36" s="863"/>
      <c r="G36" s="863"/>
      <c r="H36" s="863"/>
      <c r="I36" s="863"/>
      <c r="J36" s="864"/>
      <c r="K36" s="649" t="e">
        <f t="shared" si="0"/>
        <v>#DIV/0!</v>
      </c>
    </row>
    <row r="37" spans="2:11" ht="15" x14ac:dyDescent="0.25">
      <c r="B37" s="849" t="s">
        <v>1114</v>
      </c>
      <c r="C37" s="850"/>
      <c r="D37" s="850"/>
      <c r="E37" s="850"/>
      <c r="F37" s="850"/>
      <c r="G37" s="850"/>
      <c r="H37" s="850"/>
      <c r="I37" s="851"/>
      <c r="J37" s="36">
        <f>SUM(J39:J48)</f>
        <v>0</v>
      </c>
      <c r="K37" s="649" t="e">
        <f t="shared" si="0"/>
        <v>#DIV/0!</v>
      </c>
    </row>
    <row r="38" spans="2:11" ht="15" x14ac:dyDescent="0.25">
      <c r="B38" s="10">
        <v>4</v>
      </c>
      <c r="C38" s="852" t="s">
        <v>118</v>
      </c>
      <c r="D38" s="852"/>
      <c r="E38" s="852"/>
      <c r="F38" s="852"/>
      <c r="G38" s="852"/>
      <c r="H38" s="852"/>
      <c r="I38" s="852"/>
      <c r="J38" s="853"/>
      <c r="K38" s="649" t="e">
        <f t="shared" si="0"/>
        <v>#DIV/0!</v>
      </c>
    </row>
    <row r="39" spans="2:11" ht="15" x14ac:dyDescent="0.25">
      <c r="B39" s="147" t="s">
        <v>121</v>
      </c>
      <c r="C39" s="148" t="s">
        <v>1110</v>
      </c>
      <c r="D39" s="229">
        <f>VLOOKUP(B39,'MEMÓRIA DE CÁLCULO'!B:H,2,)</f>
        <v>50302</v>
      </c>
      <c r="E39" s="149" t="str">
        <f>VLOOKUP(B39,'MEMÓRIA DE CÁLCULO'!$B:$H,3,)</f>
        <v>ESTACA A TRADO DIAM.30 CM SEM FERRO</v>
      </c>
      <c r="F39" s="150" t="s">
        <v>48</v>
      </c>
      <c r="G39" s="172">
        <f>VLOOKUP(B39,'MEMÓRIA DE CÁLCULO'!$B:$H,7,)</f>
        <v>2.2608000000000001</v>
      </c>
      <c r="H39" s="176"/>
      <c r="I39" s="176"/>
      <c r="J39" s="177"/>
      <c r="K39" s="649" t="e">
        <f t="shared" si="0"/>
        <v>#DIV/0!</v>
      </c>
    </row>
    <row r="40" spans="2:11" ht="15" x14ac:dyDescent="0.25">
      <c r="B40" s="81" t="s">
        <v>123</v>
      </c>
      <c r="C40" s="62" t="s">
        <v>1110</v>
      </c>
      <c r="D40" s="230">
        <f>VLOOKUP(B40,'MEMÓRIA DE CÁLCULO'!B:H,2,)</f>
        <v>51024</v>
      </c>
      <c r="E40" s="65" t="str">
        <f>VLOOKUP(B40,'MEMÓRIA DE CÁLCULO'!$B:$H,3,)</f>
        <v>PREPARO COM BETONEIRA E TRANSPORTE MANUAL DE CONCRETO PARA LASTRO - (O.C.)</v>
      </c>
      <c r="F40" s="63" t="s">
        <v>48</v>
      </c>
      <c r="G40" s="172">
        <f>VLOOKUP(B40,'MEMÓRIA DE CÁLCULO'!$B:$H,7,)</f>
        <v>2.8399999999999998E-2</v>
      </c>
      <c r="H40" s="69"/>
      <c r="I40" s="69"/>
      <c r="J40" s="83"/>
      <c r="K40" s="649" t="e">
        <f t="shared" si="0"/>
        <v>#DIV/0!</v>
      </c>
    </row>
    <row r="41" spans="2:11" ht="15" x14ac:dyDescent="0.25">
      <c r="B41" s="81" t="s">
        <v>125</v>
      </c>
      <c r="C41" s="62" t="s">
        <v>1110</v>
      </c>
      <c r="D41" s="230">
        <f>VLOOKUP(B41,'MEMÓRIA DE CÁLCULO'!B:H,2,)</f>
        <v>52004</v>
      </c>
      <c r="E41" s="65" t="str">
        <f>VLOOKUP(B41,'MEMÓRIA DE CÁLCULO'!$B:$H,3,)</f>
        <v>AÇO CA 50-A - 8,0 MM (5/16") - (OBRAS CIVIS)</v>
      </c>
      <c r="F41" s="63" t="s">
        <v>155</v>
      </c>
      <c r="G41" s="172">
        <f>VLOOKUP(B41,'MEMÓRIA DE CÁLCULO'!$B:$H,7,)</f>
        <v>409.6</v>
      </c>
      <c r="H41" s="69"/>
      <c r="I41" s="69"/>
      <c r="J41" s="83"/>
      <c r="K41" s="649" t="e">
        <f t="shared" si="0"/>
        <v>#DIV/0!</v>
      </c>
    </row>
    <row r="42" spans="2:11" ht="15" x14ac:dyDescent="0.25">
      <c r="B42" s="81" t="s">
        <v>129</v>
      </c>
      <c r="C42" s="62" t="s">
        <v>1110</v>
      </c>
      <c r="D42" s="230">
        <f>VLOOKUP(B42,'MEMÓRIA DE CÁLCULO'!B:H,2,)</f>
        <v>52014</v>
      </c>
      <c r="E42" s="65" t="str">
        <f>VLOOKUP(B42,'MEMÓRIA DE CÁLCULO'!$B:$H,3,)</f>
        <v xml:space="preserve">ACO CA-60 - 5,0 MM - (OBRAS CIVIS) </v>
      </c>
      <c r="F42" s="63" t="s">
        <v>155</v>
      </c>
      <c r="G42" s="172">
        <f>VLOOKUP(B42,'MEMÓRIA DE CÁLCULO'!$B:$H,7,)</f>
        <v>19.2</v>
      </c>
      <c r="H42" s="69"/>
      <c r="I42" s="69"/>
      <c r="J42" s="83"/>
      <c r="K42" s="649" t="e">
        <f t="shared" si="0"/>
        <v>#DIV/0!</v>
      </c>
    </row>
    <row r="43" spans="2:11" ht="15" x14ac:dyDescent="0.25">
      <c r="B43" s="81" t="s">
        <v>131</v>
      </c>
      <c r="C43" s="62" t="s">
        <v>1110</v>
      </c>
      <c r="D43" s="230">
        <f>VLOOKUP(B43,'MEMÓRIA DE CÁLCULO'!B:H,2,)</f>
        <v>51032</v>
      </c>
      <c r="E43" s="65" t="str">
        <f>VLOOKUP(B43,'MEMÓRIA DE CÁLCULO'!$B:$H,3,)</f>
        <v>CONCRETO USINADO CONVENCIONAL FCK=25 MPA COM TRANSPORTE MANUAL (O.C.) (ESTACAS)</v>
      </c>
      <c r="F43" s="63" t="s">
        <v>17</v>
      </c>
      <c r="G43" s="172">
        <f>VLOOKUP(B43,'MEMÓRIA DE CÁLCULO'!$B:$H,7,)</f>
        <v>1.7039999999999997</v>
      </c>
      <c r="H43" s="69"/>
      <c r="I43" s="69"/>
      <c r="J43" s="83"/>
      <c r="K43" s="649" t="e">
        <f t="shared" si="0"/>
        <v>#DIV/0!</v>
      </c>
    </row>
    <row r="44" spans="2:11" ht="15" x14ac:dyDescent="0.25">
      <c r="B44" s="81" t="s">
        <v>134</v>
      </c>
      <c r="C44" s="62" t="s">
        <v>1110</v>
      </c>
      <c r="D44" s="230">
        <f>VLOOKUP(B44,'MEMÓRIA DE CÁLCULO'!B:H,2,)</f>
        <v>50901</v>
      </c>
      <c r="E44" s="65" t="str">
        <f>VLOOKUP(B44,'MEMÓRIA DE CÁLCULO'!$B:$H,3,)</f>
        <v>ESCAVAÇÃO MANUAL DE VALAS (SAPATAS/BLOCOS)</v>
      </c>
      <c r="F44" s="63" t="s">
        <v>155</v>
      </c>
      <c r="G44" s="172">
        <f>VLOOKUP(B44,'MEMÓRIA DE CÁLCULO'!$B:$H,7,)</f>
        <v>1.5840000000000001</v>
      </c>
      <c r="H44" s="68"/>
      <c r="I44" s="69"/>
      <c r="J44" s="83"/>
      <c r="K44" s="649" t="e">
        <f t="shared" si="0"/>
        <v>#DIV/0!</v>
      </c>
    </row>
    <row r="45" spans="2:11" ht="15" x14ac:dyDescent="0.25">
      <c r="B45" s="81" t="s">
        <v>137</v>
      </c>
      <c r="C45" s="62" t="s">
        <v>1110</v>
      </c>
      <c r="D45" s="230">
        <f>VLOOKUP(B45,'MEMÓRIA DE CÁLCULO'!B:H,2,)</f>
        <v>51009</v>
      </c>
      <c r="E45" s="65" t="str">
        <f>VLOOKUP(B45,'MEMÓRIA DE CÁLCULO'!$B:$H,3,)</f>
        <v>FORMA TÁBUA PINHO P/FUNDAÇÕES U=3V - (OBRAS CIVIS)</v>
      </c>
      <c r="F45" s="63" t="s">
        <v>48</v>
      </c>
      <c r="G45" s="172">
        <f>VLOOKUP(B45,'MEMÓRIA DE CÁLCULO'!$B:$H,7,)</f>
        <v>11.52</v>
      </c>
      <c r="H45" s="69"/>
      <c r="I45" s="69"/>
      <c r="J45" s="83"/>
      <c r="K45" s="649" t="e">
        <f t="shared" si="0"/>
        <v>#DIV/0!</v>
      </c>
    </row>
    <row r="46" spans="2:11" ht="15" x14ac:dyDescent="0.25">
      <c r="B46" s="81" t="s">
        <v>140</v>
      </c>
      <c r="C46" s="62" t="s">
        <v>1110</v>
      </c>
      <c r="D46" s="230">
        <f>VLOOKUP(B46,'MEMÓRIA DE CÁLCULO'!B:H,2,)</f>
        <v>52014</v>
      </c>
      <c r="E46" s="65" t="str">
        <f>VLOOKUP(B46,'MEMÓRIA DE CÁLCULO'!$B:$H,3,)</f>
        <v>AÇO CA 60 - 5,0 MM  (OBRAS CIVIS)</v>
      </c>
      <c r="F46" s="63" t="s">
        <v>48</v>
      </c>
      <c r="G46" s="172">
        <f>VLOOKUP(B46,'MEMÓRIA DE CÁLCULO'!$B:$H,7,)</f>
        <v>19.2</v>
      </c>
      <c r="H46" s="69"/>
      <c r="I46" s="69"/>
      <c r="J46" s="83"/>
      <c r="K46" s="649" t="e">
        <f t="shared" si="0"/>
        <v>#DIV/0!</v>
      </c>
    </row>
    <row r="47" spans="2:11" ht="15" x14ac:dyDescent="0.25">
      <c r="B47" s="81" t="s">
        <v>141</v>
      </c>
      <c r="C47" s="62" t="s">
        <v>1110</v>
      </c>
      <c r="D47" s="230">
        <f>VLOOKUP(B47,'MEMÓRIA DE CÁLCULO'!B:H,2,)</f>
        <v>52004</v>
      </c>
      <c r="E47" s="65" t="str">
        <f>VLOOKUP(B47,'MEMÓRIA DE CÁLCULO'!$B:$H,3,)</f>
        <v>AÇO CA 50-A - 8,0 MM (5/16") - (OBRAS CIVIS)</v>
      </c>
      <c r="F47" s="63" t="s">
        <v>48</v>
      </c>
      <c r="G47" s="172">
        <f>VLOOKUP(B47,'MEMÓRIA DE CÁLCULO'!$B:$H,7,)</f>
        <v>409.6</v>
      </c>
      <c r="H47" s="69"/>
      <c r="I47" s="69"/>
      <c r="J47" s="83"/>
      <c r="K47" s="649" t="e">
        <f t="shared" si="0"/>
        <v>#DIV/0!</v>
      </c>
    </row>
    <row r="48" spans="2:11" ht="15" x14ac:dyDescent="0.25">
      <c r="B48" s="81" t="s">
        <v>142</v>
      </c>
      <c r="C48" s="62" t="s">
        <v>1110</v>
      </c>
      <c r="D48" s="230">
        <f>VLOOKUP(B48,'MEMÓRIA DE CÁLCULO'!B:H,2,)</f>
        <v>51032</v>
      </c>
      <c r="E48" s="65" t="str">
        <f>VLOOKUP(B48,'MEMÓRIA DE CÁLCULO'!$B:$H,3,)</f>
        <v>CONCRETO USINADO CONVENCIONAL FCK=25 MPA COM TRANSPORTE MANUAL (O.C.) (BLOCOS)</v>
      </c>
      <c r="F48" s="63" t="s">
        <v>48</v>
      </c>
      <c r="G48" s="172">
        <f>VLOOKUP(B48,'MEMÓRIA DE CÁLCULO'!$B:$H,7,)</f>
        <v>1.5840000000000001</v>
      </c>
      <c r="H48" s="69"/>
      <c r="I48" s="69"/>
      <c r="J48" s="83"/>
      <c r="K48" s="649" t="e">
        <f t="shared" si="0"/>
        <v>#DIV/0!</v>
      </c>
    </row>
    <row r="49" spans="2:11" ht="15" x14ac:dyDescent="0.25">
      <c r="B49" s="159"/>
      <c r="C49" s="160"/>
      <c r="D49" s="250"/>
      <c r="E49" s="105"/>
      <c r="G49" s="249"/>
      <c r="H49" s="107"/>
      <c r="I49" s="107"/>
      <c r="J49" s="124"/>
      <c r="K49" s="649" t="e">
        <f t="shared" si="0"/>
        <v>#DIV/0!</v>
      </c>
    </row>
    <row r="50" spans="2:11" ht="15" x14ac:dyDescent="0.25">
      <c r="B50" s="849" t="s">
        <v>1115</v>
      </c>
      <c r="C50" s="850"/>
      <c r="D50" s="850"/>
      <c r="E50" s="850"/>
      <c r="F50" s="850"/>
      <c r="G50" s="850"/>
      <c r="H50" s="850"/>
      <c r="I50" s="851"/>
      <c r="J50" s="36">
        <f>SUM(J52:J59)</f>
        <v>0</v>
      </c>
      <c r="K50" s="649" t="e">
        <f t="shared" si="0"/>
        <v>#DIV/0!</v>
      </c>
    </row>
    <row r="51" spans="2:11" ht="15" x14ac:dyDescent="0.25">
      <c r="B51" s="10">
        <v>5</v>
      </c>
      <c r="C51" s="852" t="s">
        <v>1116</v>
      </c>
      <c r="D51" s="852"/>
      <c r="E51" s="852"/>
      <c r="F51" s="852"/>
      <c r="G51" s="852"/>
      <c r="H51" s="852"/>
      <c r="I51" s="852"/>
      <c r="J51" s="853"/>
      <c r="K51" s="649" t="e">
        <f t="shared" si="0"/>
        <v>#DIV/0!</v>
      </c>
    </row>
    <row r="52" spans="2:11" ht="15" x14ac:dyDescent="0.25">
      <c r="B52" s="147" t="s">
        <v>147</v>
      </c>
      <c r="C52" s="148" t="s">
        <v>1110</v>
      </c>
      <c r="D52" s="148">
        <f>VLOOKUP(B52,'MEMÓRIA DE CÁLCULO'!$B:$H,2,)</f>
        <v>67022</v>
      </c>
      <c r="E52" s="65" t="str">
        <f>VLOOKUP(B52,'MEMÓRIA DE CÁLCULO'!$B:$H,3,)</f>
        <v>LIMPEZA DO SUBSTRATO COM APLICAÇÃO DE JATO DE ÁGUA FRIA</v>
      </c>
      <c r="F52" s="150" t="s">
        <v>17</v>
      </c>
      <c r="G52" s="178">
        <f>VLOOKUP(B52,'MEMÓRIA DE CÁLCULO'!B:H,7,)</f>
        <v>84.525000000000006</v>
      </c>
      <c r="H52" s="90"/>
      <c r="I52" s="90"/>
      <c r="J52" s="177"/>
      <c r="K52" s="649" t="e">
        <f t="shared" si="0"/>
        <v>#DIV/0!</v>
      </c>
    </row>
    <row r="53" spans="2:11" ht="15" x14ac:dyDescent="0.25">
      <c r="B53" s="81" t="s">
        <v>151</v>
      </c>
      <c r="C53" s="62" t="s">
        <v>1110</v>
      </c>
      <c r="D53" s="62">
        <f>VLOOKUP(B53,'MEMÓRIA DE CÁLCULO'!$B:$H,2,)</f>
        <v>60191</v>
      </c>
      <c r="E53" s="65" t="str">
        <f>VLOOKUP(B53,'MEMÓRIA DE CÁLCULO'!$B:$H,3,)</f>
        <v>FORMA DE TÁBUA CINTA BALDRAME U=8 VEZES</v>
      </c>
      <c r="F53" s="63" t="s">
        <v>17</v>
      </c>
      <c r="G53" s="71">
        <f>VLOOKUP(B53,'MEMÓRIA DE CÁLCULO'!B:H,7,)</f>
        <v>49.559999999999995</v>
      </c>
      <c r="H53" s="69"/>
      <c r="I53" s="69"/>
      <c r="J53" s="83"/>
      <c r="K53" s="649" t="e">
        <f t="shared" si="0"/>
        <v>#DIV/0!</v>
      </c>
    </row>
    <row r="54" spans="2:11" ht="15" x14ac:dyDescent="0.25">
      <c r="B54" s="81" t="s">
        <v>153</v>
      </c>
      <c r="C54" s="62" t="s">
        <v>1110</v>
      </c>
      <c r="D54" s="62">
        <f>VLOOKUP(B54,'MEMÓRIA DE CÁLCULO'!$B:$H,2,)</f>
        <v>60305</v>
      </c>
      <c r="E54" s="65" t="str">
        <f>VLOOKUP(B54,'MEMÓRIA DE CÁLCULO'!$B:$H,3,)</f>
        <v>AÇO CA-50A - 8,0 MM (5/16") - (OBRAS CIVIS)</v>
      </c>
      <c r="F54" s="63" t="s">
        <v>155</v>
      </c>
      <c r="G54" s="71">
        <f>VLOOKUP(B54,'MEMÓRIA DE CÁLCULO'!B:H,7,)</f>
        <v>589.42500000000007</v>
      </c>
      <c r="H54" s="69"/>
      <c r="I54" s="69"/>
      <c r="J54" s="83"/>
      <c r="K54" s="649" t="e">
        <f t="shared" si="0"/>
        <v>#DIV/0!</v>
      </c>
    </row>
    <row r="55" spans="2:11" ht="15" x14ac:dyDescent="0.25">
      <c r="B55" s="81" t="s">
        <v>178</v>
      </c>
      <c r="C55" s="62" t="s">
        <v>1110</v>
      </c>
      <c r="D55" s="62">
        <f>VLOOKUP(B55,'MEMÓRIA DE CÁLCULO'!$B:$H,2,)</f>
        <v>60314</v>
      </c>
      <c r="E55" s="65" t="str">
        <f>VLOOKUP(B55,'MEMÓRIA DE CÁLCULO'!$B:$H,3,)</f>
        <v>AÇO CA - 60 - 5,0 MM - (OBRAS CIVIS)</v>
      </c>
      <c r="F55" s="63" t="s">
        <v>155</v>
      </c>
      <c r="G55" s="71">
        <f>VLOOKUP(B55,'MEMÓRIA DE CÁLCULO'!B:H,7,)</f>
        <v>336.22500000000008</v>
      </c>
      <c r="H55" s="69"/>
      <c r="I55" s="69"/>
      <c r="J55" s="83"/>
      <c r="K55" s="649" t="e">
        <f t="shared" si="0"/>
        <v>#DIV/0!</v>
      </c>
    </row>
    <row r="56" spans="2:11" ht="15" x14ac:dyDescent="0.25">
      <c r="B56" s="81" t="s">
        <v>183</v>
      </c>
      <c r="C56" s="62" t="s">
        <v>1110</v>
      </c>
      <c r="D56" s="62">
        <f>VLOOKUP(B56,'MEMÓRIA DE CÁLCULO'!$B:$H,2,)</f>
        <v>60517</v>
      </c>
      <c r="E56" s="65" t="str">
        <f>VLOOKUP(B56,'MEMÓRIA DE CÁLCULO'!$B:$H,3,)</f>
        <v>PREPARO COM BETONEIRA E TRANSPORTE MANUAL DE CONCRETO FCK=25 MPA</v>
      </c>
      <c r="F56" s="63" t="s">
        <v>48</v>
      </c>
      <c r="G56" s="71">
        <f>VLOOKUP(B56,'MEMÓRIA DE CÁLCULO'!B:H,7,)</f>
        <v>14.499149999999998</v>
      </c>
      <c r="H56" s="69"/>
      <c r="I56" s="69"/>
      <c r="J56" s="83"/>
      <c r="K56" s="649" t="e">
        <f t="shared" si="0"/>
        <v>#DIV/0!</v>
      </c>
    </row>
    <row r="57" spans="2:11" ht="15" x14ac:dyDescent="0.25">
      <c r="B57" s="81" t="s">
        <v>187</v>
      </c>
      <c r="C57" s="62" t="s">
        <v>1110</v>
      </c>
      <c r="D57" s="62">
        <f>VLOOKUP(B57,'MEMÓRIA DE CÁLCULO'!$B:$H,2,)</f>
        <v>60801</v>
      </c>
      <c r="E57" s="65" t="str">
        <f>VLOOKUP(B57,'MEMÓRIA DE CÁLCULO'!$B:$H,3,)</f>
        <v>LANÇAMENTO/APLICAÇÃO/ADENSAMENTO MANUAL DE CONCRETO - (OBRAS CIVIS)</v>
      </c>
      <c r="F57" s="63" t="s">
        <v>48</v>
      </c>
      <c r="G57" s="71">
        <f>VLOOKUP(B57,'MEMÓRIA DE CÁLCULO'!B:H,7,)</f>
        <v>14.499149999999998</v>
      </c>
      <c r="H57" s="69"/>
      <c r="I57" s="69"/>
      <c r="J57" s="83"/>
      <c r="K57" s="649" t="e">
        <f t="shared" si="0"/>
        <v>#DIV/0!</v>
      </c>
    </row>
    <row r="58" spans="2:11" ht="15" x14ac:dyDescent="0.25">
      <c r="B58" s="81" t="s">
        <v>192</v>
      </c>
      <c r="C58" s="62" t="s">
        <v>1110</v>
      </c>
      <c r="D58" s="62">
        <f>VLOOKUP(B58,'MEMÓRIA DE CÁLCULO'!$B:$H,2,)</f>
        <v>60209</v>
      </c>
      <c r="E58" s="65" t="str">
        <f>VLOOKUP(B58,'MEMÓRIA DE CÁLCULO'!$B:$H,3,)</f>
        <v>FORMA CH.COMPENSADA 12MM-VIGA/PILAR U=4V - (OBRAS CIVIS)</v>
      </c>
      <c r="F58" s="63" t="s">
        <v>17</v>
      </c>
      <c r="G58" s="71">
        <f>VLOOKUP(B58,'MEMÓRIA DE CÁLCULO'!B:H,7,)</f>
        <v>220.70399999999998</v>
      </c>
      <c r="H58" s="69"/>
      <c r="I58" s="69"/>
      <c r="J58" s="83"/>
      <c r="K58" s="649" t="e">
        <f t="shared" si="0"/>
        <v>#DIV/0!</v>
      </c>
    </row>
    <row r="59" spans="2:11" ht="15" x14ac:dyDescent="0.25">
      <c r="B59" s="216" t="s">
        <v>210</v>
      </c>
      <c r="C59" s="323" t="s">
        <v>1111</v>
      </c>
      <c r="D59" s="62" t="str">
        <f>VLOOKUP(B59,'MEMÓRIA DE CÁLCULO'!$B:$H,2,)</f>
        <v>SINAPI 101964</v>
      </c>
      <c r="E59" s="65" t="str">
        <f>VLOOKUP(B59,'MEMÓRIA DE CÁLCULO'!$B:$H,3,)</f>
        <v>LAJE PRÉ-MOLDADA UNIDIRECIONAL, BIAPOIADA, PARA FORRO, ENCHIMENTO EM CERÂM M2 OU EPS</v>
      </c>
      <c r="F59" s="63" t="s">
        <v>17</v>
      </c>
      <c r="G59" s="71">
        <f>VLOOKUP(B59,'MEMÓRIA DE CÁLCULO'!B:H,7,)</f>
        <v>210.00249999999997</v>
      </c>
      <c r="H59" s="69"/>
      <c r="I59" s="69"/>
      <c r="J59" s="83"/>
      <c r="K59" s="649" t="e">
        <f t="shared" si="0"/>
        <v>#DIV/0!</v>
      </c>
    </row>
    <row r="60" spans="2:11" ht="15" x14ac:dyDescent="0.25">
      <c r="B60" s="14"/>
      <c r="C60" s="862"/>
      <c r="D60" s="863"/>
      <c r="E60" s="863"/>
      <c r="F60" s="863"/>
      <c r="G60" s="863"/>
      <c r="H60" s="863"/>
      <c r="I60" s="863"/>
      <c r="J60" s="864"/>
      <c r="K60" s="649" t="e">
        <f t="shared" si="0"/>
        <v>#DIV/0!</v>
      </c>
    </row>
    <row r="61" spans="2:11" ht="15" x14ac:dyDescent="0.25">
      <c r="B61" s="849" t="s">
        <v>1117</v>
      </c>
      <c r="C61" s="850"/>
      <c r="D61" s="850"/>
      <c r="E61" s="850"/>
      <c r="F61" s="850"/>
      <c r="G61" s="850"/>
      <c r="H61" s="850"/>
      <c r="I61" s="851"/>
      <c r="J61" s="36">
        <f>SUM(J63:J106)</f>
        <v>0</v>
      </c>
      <c r="K61" s="649" t="e">
        <f t="shared" si="0"/>
        <v>#DIV/0!</v>
      </c>
    </row>
    <row r="62" spans="2:11" ht="15" x14ac:dyDescent="0.25">
      <c r="B62" s="10">
        <v>6</v>
      </c>
      <c r="C62" s="852" t="s">
        <v>1118</v>
      </c>
      <c r="D62" s="852"/>
      <c r="E62" s="852"/>
      <c r="F62" s="852"/>
      <c r="G62" s="852"/>
      <c r="H62" s="852"/>
      <c r="I62" s="852"/>
      <c r="J62" s="853"/>
      <c r="K62" s="649" t="e">
        <f t="shared" si="0"/>
        <v>#DIV/0!</v>
      </c>
    </row>
    <row r="63" spans="2:11" ht="15" x14ac:dyDescent="0.25">
      <c r="B63" s="147" t="s">
        <v>229</v>
      </c>
      <c r="C63" s="179" t="s">
        <v>1111</v>
      </c>
      <c r="D63" s="62" t="s">
        <v>1119</v>
      </c>
      <c r="E63" s="65" t="str">
        <f>VLOOKUP(B63,'MEMÓRIA DE CÁLCULO'!$B:$H,3,)</f>
        <v xml:space="preserve">LUMINÁRIA TIPO PAFLON, DE SOBREPOR, COM 1 LÂMPADAS  FLUORESCENTE </v>
      </c>
      <c r="F63" s="150" t="s">
        <v>67</v>
      </c>
      <c r="G63" s="180">
        <f>VLOOKUP(B63,'MEMÓRIA DE CÁLCULO'!$B:$H,7,)</f>
        <v>50</v>
      </c>
      <c r="H63" s="176"/>
      <c r="I63" s="176"/>
      <c r="J63" s="177"/>
      <c r="K63" s="649" t="e">
        <f t="shared" si="0"/>
        <v>#DIV/0!</v>
      </c>
    </row>
    <row r="64" spans="2:11" ht="31.5" customHeight="1" x14ac:dyDescent="0.25">
      <c r="B64" s="81" t="s">
        <v>234</v>
      </c>
      <c r="C64" s="179" t="s">
        <v>1111</v>
      </c>
      <c r="D64" s="62" t="str">
        <f>VLOOKUP(B64,'MEMÓRIA DE CÁLCULO'!$B:$H,2,)</f>
        <v>SINAPI 97584</v>
      </c>
      <c r="E64" s="65" t="str">
        <f>VLOOKUP(B64,'MEMÓRIA DE CÁLCULO'!$B:$H,3,)</f>
        <v>LUMINÁRIA TIPO CALHA, DE SOBREPOR, COM 1 LÂMPADA TUBULAR FLUORESCENTE DE 36 W, COM REATOR DE PARTIDA RÁPIDA - FORNECIMENTO E INSTALAÇÃO.</v>
      </c>
      <c r="F64" s="63" t="s">
        <v>67</v>
      </c>
      <c r="G64" s="73">
        <f>VLOOKUP(B64,'MEMÓRIA DE CÁLCULO'!$B:$H,7,)</f>
        <v>9</v>
      </c>
      <c r="H64" s="68"/>
      <c r="I64" s="68"/>
      <c r="J64" s="83"/>
      <c r="K64" s="649" t="e">
        <f t="shared" si="0"/>
        <v>#DIV/0!</v>
      </c>
    </row>
    <row r="65" spans="2:11" ht="15" x14ac:dyDescent="0.25">
      <c r="B65" s="81" t="s">
        <v>235</v>
      </c>
      <c r="C65" s="72" t="s">
        <v>1110</v>
      </c>
      <c r="D65" s="62">
        <f>VLOOKUP(B65,'MEMÓRIA DE CÁLCULO'!$B:$H,2,)</f>
        <v>70564</v>
      </c>
      <c r="E65" s="65" t="str">
        <f>VLOOKUP(B65,'MEMÓRIA DE CÁLCULO'!$B:$H,3,)</f>
        <v>CABO ISOLADO PVC 750 V, No. 4 MM2 (PRETO)</v>
      </c>
      <c r="F65" s="63" t="s">
        <v>63</v>
      </c>
      <c r="G65" s="73">
        <f>VLOOKUP(B65,'MEMÓRIA DE CÁLCULO'!$B:$H,7,)</f>
        <v>57</v>
      </c>
      <c r="H65" s="68"/>
      <c r="I65" s="68"/>
      <c r="J65" s="83"/>
      <c r="K65" s="649" t="e">
        <f t="shared" si="0"/>
        <v>#DIV/0!</v>
      </c>
    </row>
    <row r="66" spans="2:11" ht="15" x14ac:dyDescent="0.25">
      <c r="B66" s="81" t="s">
        <v>237</v>
      </c>
      <c r="C66" s="72" t="s">
        <v>1110</v>
      </c>
      <c r="D66" s="62">
        <f>VLOOKUP(B66,'MEMÓRIA DE CÁLCULO'!$B:$H,2,)</f>
        <v>70564</v>
      </c>
      <c r="E66" s="65" t="str">
        <f>VLOOKUP(B66,'MEMÓRIA DE CÁLCULO'!$B:$H,3,)</f>
        <v>CABO ISOLADO PVC 750 V, No. 4 MM2 (AZUL)</v>
      </c>
      <c r="F66" s="63" t="s">
        <v>63</v>
      </c>
      <c r="G66" s="73">
        <f>VLOOKUP(B66,'MEMÓRIA DE CÁLCULO'!$B:$H,7,)</f>
        <v>57</v>
      </c>
      <c r="H66" s="68"/>
      <c r="I66" s="68"/>
      <c r="J66" s="83"/>
      <c r="K66" s="649" t="e">
        <f t="shared" si="0"/>
        <v>#DIV/0!</v>
      </c>
    </row>
    <row r="67" spans="2:11" ht="15" x14ac:dyDescent="0.25">
      <c r="B67" s="81" t="s">
        <v>239</v>
      </c>
      <c r="C67" s="72" t="s">
        <v>1110</v>
      </c>
      <c r="D67" s="62">
        <f>VLOOKUP(B67,'MEMÓRIA DE CÁLCULO'!$B:$H,2,)</f>
        <v>70564</v>
      </c>
      <c r="E67" s="65" t="str">
        <f>VLOOKUP(B67,'MEMÓRIA DE CÁLCULO'!$B:$H,3,)</f>
        <v>CABO ISOLADO PVC 750 V, No. 4 MM2 (VERDE)</v>
      </c>
      <c r="F67" s="63" t="s">
        <v>63</v>
      </c>
      <c r="G67" s="73">
        <f>VLOOKUP(B67,'MEMÓRIA DE CÁLCULO'!$B:$H,7,)</f>
        <v>18</v>
      </c>
      <c r="H67" s="68"/>
      <c r="I67" s="68"/>
      <c r="J67" s="83"/>
      <c r="K67" s="649" t="e">
        <f t="shared" si="0"/>
        <v>#DIV/0!</v>
      </c>
    </row>
    <row r="68" spans="2:11" ht="15" x14ac:dyDescent="0.25">
      <c r="B68" s="81" t="s">
        <v>241</v>
      </c>
      <c r="C68" s="72" t="s">
        <v>1110</v>
      </c>
      <c r="D68" s="62" t="str">
        <f>VLOOKUP(B68,'MEMÓRIA DE CÁLCULO'!$B:$H,2,)</f>
        <v>70565</v>
      </c>
      <c r="E68" s="65" t="str">
        <f>VLOOKUP(B68,'MEMÓRIA DE CÁLCULO'!$B:$H,3,)</f>
        <v>CABO ISOLADO PVC 750 V, No. 6 MM2 (PRETO)</v>
      </c>
      <c r="F68" s="63" t="s">
        <v>63</v>
      </c>
      <c r="G68" s="73">
        <f>VLOOKUP(B68,'MEMÓRIA DE CÁLCULO'!$B:$H,7,)</f>
        <v>57</v>
      </c>
      <c r="H68" s="68"/>
      <c r="I68" s="68"/>
      <c r="J68" s="83"/>
      <c r="K68" s="649" t="e">
        <f t="shared" si="0"/>
        <v>#DIV/0!</v>
      </c>
    </row>
    <row r="69" spans="2:11" ht="15" x14ac:dyDescent="0.25">
      <c r="B69" s="81" t="s">
        <v>244</v>
      </c>
      <c r="C69" s="72" t="s">
        <v>1110</v>
      </c>
      <c r="D69" s="62" t="str">
        <f>VLOOKUP(B69,'MEMÓRIA DE CÁLCULO'!$B:$H,2,)</f>
        <v>70565</v>
      </c>
      <c r="E69" s="65" t="str">
        <f>VLOOKUP(B69,'MEMÓRIA DE CÁLCULO'!$B:$H,3,)</f>
        <v>CABO ISOLADO PVC 750 V, No. 6 MM2 (VERDE)</v>
      </c>
      <c r="F69" s="63" t="s">
        <v>63</v>
      </c>
      <c r="G69" s="73">
        <f>VLOOKUP(B69,'MEMÓRIA DE CÁLCULO'!$B:$H,7,)</f>
        <v>37</v>
      </c>
      <c r="H69" s="68"/>
      <c r="I69" s="68"/>
      <c r="J69" s="83"/>
      <c r="K69" s="649" t="e">
        <f t="shared" si="0"/>
        <v>#DIV/0!</v>
      </c>
    </row>
    <row r="70" spans="2:11" ht="15" x14ac:dyDescent="0.25">
      <c r="B70" s="81" t="s">
        <v>246</v>
      </c>
      <c r="C70" s="72" t="s">
        <v>1110</v>
      </c>
      <c r="D70" s="62" t="str">
        <f>VLOOKUP(B70,'MEMÓRIA DE CÁLCULO'!$B:$H,2,)</f>
        <v>70565</v>
      </c>
      <c r="E70" s="65" t="str">
        <f>VLOOKUP(B70,'MEMÓRIA DE CÁLCULO'!$B:$H,3,)</f>
        <v>CABO ISOLADO PVC 750 V, No. 6 MM2 (AZUL)</v>
      </c>
      <c r="F70" s="63" t="s">
        <v>63</v>
      </c>
      <c r="G70" s="73">
        <f>VLOOKUP(B70,'MEMÓRIA DE CÁLCULO'!$B:$H,7,)</f>
        <v>57</v>
      </c>
      <c r="H70" s="68"/>
      <c r="I70" s="68"/>
      <c r="J70" s="83"/>
      <c r="K70" s="649" t="e">
        <f t="shared" si="0"/>
        <v>#DIV/0!</v>
      </c>
    </row>
    <row r="71" spans="2:11" ht="15" x14ac:dyDescent="0.25">
      <c r="B71" s="81" t="s">
        <v>248</v>
      </c>
      <c r="C71" s="72" t="s">
        <v>1110</v>
      </c>
      <c r="D71" s="62" t="str">
        <f>VLOOKUP(B71,'MEMÓRIA DE CÁLCULO'!$B:$H,2,)</f>
        <v>70563</v>
      </c>
      <c r="E71" s="65" t="str">
        <f>VLOOKUP(B71,'MEMÓRIA DE CÁLCULO'!$B:$H,3,)</f>
        <v>CABO ISOLADO PVC 750 V, No. 2,5 MM2 (AZUL)</v>
      </c>
      <c r="F71" s="63" t="s">
        <v>63</v>
      </c>
      <c r="G71" s="73">
        <f>VLOOKUP(B71,'MEMÓRIA DE CÁLCULO'!$B:$H,7,)</f>
        <v>256</v>
      </c>
      <c r="H71" s="68"/>
      <c r="I71" s="68"/>
      <c r="J71" s="83"/>
      <c r="K71" s="649" t="e">
        <f t="shared" si="0"/>
        <v>#DIV/0!</v>
      </c>
    </row>
    <row r="72" spans="2:11" ht="15" x14ac:dyDescent="0.25">
      <c r="B72" s="81" t="s">
        <v>251</v>
      </c>
      <c r="C72" s="72" t="s">
        <v>1110</v>
      </c>
      <c r="D72" s="62" t="str">
        <f>VLOOKUP(B72,'MEMÓRIA DE CÁLCULO'!$B:$H,2,)</f>
        <v>70563</v>
      </c>
      <c r="E72" s="65" t="str">
        <f>VLOOKUP(B72,'MEMÓRIA DE CÁLCULO'!$B:$H,3,)</f>
        <v>CABO ISOLADO PVC 750 V, No. 2,5 MM2 (PRETO)</v>
      </c>
      <c r="F72" s="63" t="s">
        <v>63</v>
      </c>
      <c r="G72" s="73">
        <f>VLOOKUP(B72,'MEMÓRIA DE CÁLCULO'!$B:$H,7,)</f>
        <v>256</v>
      </c>
      <c r="H72" s="68"/>
      <c r="I72" s="68"/>
      <c r="J72" s="83"/>
      <c r="K72" s="649" t="e">
        <f t="shared" si="0"/>
        <v>#DIV/0!</v>
      </c>
    </row>
    <row r="73" spans="2:11" ht="15" x14ac:dyDescent="0.25">
      <c r="B73" s="81" t="s">
        <v>253</v>
      </c>
      <c r="C73" s="72" t="s">
        <v>1110</v>
      </c>
      <c r="D73" s="62" t="str">
        <f>VLOOKUP(B73,'MEMÓRIA DE CÁLCULO'!$B:$H,2,)</f>
        <v>70563</v>
      </c>
      <c r="E73" s="65" t="str">
        <f>VLOOKUP(B73,'MEMÓRIA DE CÁLCULO'!$B:$H,3,)</f>
        <v>CABO ISOLADO PVC 750 V, No. 2,5 MM2 (VERDE)</v>
      </c>
      <c r="F73" s="63" t="s">
        <v>63</v>
      </c>
      <c r="G73" s="73">
        <f>VLOOKUP(B73,'MEMÓRIA DE CÁLCULO'!$B:$H,7,)</f>
        <v>169</v>
      </c>
      <c r="H73" s="68"/>
      <c r="I73" s="68"/>
      <c r="J73" s="83"/>
      <c r="K73" s="649" t="e">
        <f t="shared" si="0"/>
        <v>#DIV/0!</v>
      </c>
    </row>
    <row r="74" spans="2:11" ht="15" x14ac:dyDescent="0.25">
      <c r="B74" s="81" t="s">
        <v>255</v>
      </c>
      <c r="C74" s="72" t="s">
        <v>1110</v>
      </c>
      <c r="D74" s="62">
        <f>VLOOKUP(B74,'MEMÓRIA DE CÁLCULO'!$B:$H,2,)</f>
        <v>70570</v>
      </c>
      <c r="E74" s="65" t="str">
        <f>VLOOKUP(B74,'MEMÓRIA DE CÁLCULO'!$B:$H,3,)</f>
        <v>CABO ISOLADO PVC 750 V, No. 10 MM2 (PRETO)</v>
      </c>
      <c r="F74" s="63" t="s">
        <v>63</v>
      </c>
      <c r="G74" s="73">
        <f>VLOOKUP(B74,'MEMÓRIA DE CÁLCULO'!$B:$H,7,)</f>
        <v>64</v>
      </c>
      <c r="H74" s="68"/>
      <c r="I74" s="68"/>
      <c r="J74" s="83"/>
      <c r="K74" s="649" t="e">
        <f t="shared" si="0"/>
        <v>#DIV/0!</v>
      </c>
    </row>
    <row r="75" spans="2:11" ht="15" x14ac:dyDescent="0.25">
      <c r="B75" s="81" t="s">
        <v>257</v>
      </c>
      <c r="C75" s="72" t="s">
        <v>1110</v>
      </c>
      <c r="D75" s="62">
        <f>VLOOKUP(B75,'MEMÓRIA DE CÁLCULO'!$B:$H,2,)</f>
        <v>70570</v>
      </c>
      <c r="E75" s="65" t="str">
        <f>VLOOKUP(B75,'MEMÓRIA DE CÁLCULO'!$B:$H,3,)</f>
        <v>CABO ISOLADO PVC 750 V, No. 10 MM2 (AZUL)</v>
      </c>
      <c r="F75" s="63" t="s">
        <v>63</v>
      </c>
      <c r="G75" s="73">
        <f>VLOOKUP(B75,'MEMÓRIA DE CÁLCULO'!$B:$H,7,)</f>
        <v>64</v>
      </c>
      <c r="H75" s="68"/>
      <c r="I75" s="68"/>
      <c r="J75" s="83"/>
      <c r="K75" s="649" t="e">
        <f t="shared" si="0"/>
        <v>#DIV/0!</v>
      </c>
    </row>
    <row r="76" spans="2:11" ht="15" x14ac:dyDescent="0.25">
      <c r="B76" s="81" t="s">
        <v>259</v>
      </c>
      <c r="C76" s="72" t="s">
        <v>1110</v>
      </c>
      <c r="D76" s="62">
        <f>VLOOKUP(B76,'MEMÓRIA DE CÁLCULO'!$B:$H,2,)</f>
        <v>70570</v>
      </c>
      <c r="E76" s="65" t="str">
        <f>VLOOKUP(B76,'MEMÓRIA DE CÁLCULO'!$B:$H,3,)</f>
        <v>CABO ISOLADO PVC 750 V, No. 10 MM2 (VERDE)</v>
      </c>
      <c r="F76" s="63" t="s">
        <v>67</v>
      </c>
      <c r="G76" s="73">
        <f>VLOOKUP(B76,'MEMÓRIA DE CÁLCULO'!$B:$H,7,)</f>
        <v>42</v>
      </c>
      <c r="H76" s="68"/>
      <c r="I76" s="68"/>
      <c r="J76" s="83"/>
      <c r="K76" s="649" t="e">
        <f t="shared" ref="K76:K139" si="1">(J76*100%)/$J$310</f>
        <v>#DIV/0!</v>
      </c>
    </row>
    <row r="77" spans="2:11" ht="15" x14ac:dyDescent="0.25">
      <c r="B77" s="81" t="s">
        <v>261</v>
      </c>
      <c r="C77" s="72" t="s">
        <v>1110</v>
      </c>
      <c r="D77" s="62">
        <f>VLOOKUP(B77,'MEMÓRIA DE CÁLCULO'!$B:$H,2,)</f>
        <v>71173</v>
      </c>
      <c r="E77" s="65" t="str">
        <f>VLOOKUP(B77,'MEMÓRIA DE CÁLCULO'!$B:$H,3,)</f>
        <v>DISJUNTOR BIPOLAR DE 10A</v>
      </c>
      <c r="F77" s="63" t="s">
        <v>67</v>
      </c>
      <c r="G77" s="73">
        <f>VLOOKUP(B77,'MEMÓRIA DE CÁLCULO'!$B:$H,7,)</f>
        <v>14</v>
      </c>
      <c r="H77" s="68"/>
      <c r="I77" s="68"/>
      <c r="J77" s="83"/>
      <c r="K77" s="649" t="e">
        <f t="shared" si="1"/>
        <v>#DIV/0!</v>
      </c>
    </row>
    <row r="78" spans="2:11" ht="15" x14ac:dyDescent="0.25">
      <c r="B78" s="81" t="s">
        <v>263</v>
      </c>
      <c r="C78" s="72" t="s">
        <v>1110</v>
      </c>
      <c r="D78" s="62">
        <f>VLOOKUP(B78,'MEMÓRIA DE CÁLCULO'!$B:$H,2,)</f>
        <v>71173</v>
      </c>
      <c r="E78" s="65" t="str">
        <f>VLOOKUP(B78,'MEMÓRIA DE CÁLCULO'!$B:$H,3,)</f>
        <v>DISJUNTOR BIPOLAR DE 16A</v>
      </c>
      <c r="F78" s="63" t="s">
        <v>67</v>
      </c>
      <c r="G78" s="73">
        <f>VLOOKUP(B78,'MEMÓRIA DE CÁLCULO'!$B:$H,7,)</f>
        <v>1</v>
      </c>
      <c r="H78" s="68"/>
      <c r="I78" s="68"/>
      <c r="J78" s="83"/>
      <c r="K78" s="649" t="e">
        <f t="shared" si="1"/>
        <v>#DIV/0!</v>
      </c>
    </row>
    <row r="79" spans="2:11" ht="15" x14ac:dyDescent="0.25">
      <c r="B79" s="81" t="s">
        <v>265</v>
      </c>
      <c r="C79" s="72" t="s">
        <v>1110</v>
      </c>
      <c r="D79" s="62">
        <f>VLOOKUP(B79,'MEMÓRIA DE CÁLCULO'!$B:$H,2,)</f>
        <v>71173</v>
      </c>
      <c r="E79" s="65" t="str">
        <f>VLOOKUP(B79,'MEMÓRIA DE CÁLCULO'!$B:$H,3,)</f>
        <v>DISJUNTOR BIPOLAR DE 20A</v>
      </c>
      <c r="F79" s="63" t="s">
        <v>67</v>
      </c>
      <c r="G79" s="73">
        <f>VLOOKUP(B79,'MEMÓRIA DE CÁLCULO'!$B:$H,7,)</f>
        <v>1</v>
      </c>
      <c r="H79" s="68"/>
      <c r="I79" s="68"/>
      <c r="J79" s="83"/>
      <c r="K79" s="649" t="e">
        <f t="shared" si="1"/>
        <v>#DIV/0!</v>
      </c>
    </row>
    <row r="80" spans="2:11" ht="15" x14ac:dyDescent="0.25">
      <c r="B80" s="81" t="s">
        <v>267</v>
      </c>
      <c r="C80" s="72" t="s">
        <v>1110</v>
      </c>
      <c r="D80" s="62">
        <f>VLOOKUP(B80,'MEMÓRIA DE CÁLCULO'!$B:$H,2,)</f>
        <v>71173</v>
      </c>
      <c r="E80" s="65" t="str">
        <f>VLOOKUP(B80,'MEMÓRIA DE CÁLCULO'!$B:$H,3,)</f>
        <v>DISJUNTOR BIPOLAR DE 25A</v>
      </c>
      <c r="F80" s="63" t="s">
        <v>67</v>
      </c>
      <c r="G80" s="73">
        <f>VLOOKUP(B80,'MEMÓRIA DE CÁLCULO'!$B:$H,7,)</f>
        <v>4</v>
      </c>
      <c r="H80" s="68"/>
      <c r="I80" s="68"/>
      <c r="J80" s="83"/>
      <c r="K80" s="649" t="e">
        <f t="shared" si="1"/>
        <v>#DIV/0!</v>
      </c>
    </row>
    <row r="81" spans="2:11" ht="15" x14ac:dyDescent="0.25">
      <c r="B81" s="81" t="s">
        <v>269</v>
      </c>
      <c r="C81" s="72" t="s">
        <v>1111</v>
      </c>
      <c r="D81" s="62" t="str">
        <f>VLOOKUP(B81,'MEMÓRIA DE CÁLCULO'!$B:$H,2,)</f>
        <v>SINAPI 101899</v>
      </c>
      <c r="E81" s="65" t="str">
        <f>VLOOKUP(B81,'MEMÓRIA DE CÁLCULO'!$B:$H,3,)</f>
        <v>DISJUNTOR TERMOMAGNÉTICO TRIPOLAR 500A</v>
      </c>
      <c r="F81" s="63" t="s">
        <v>67</v>
      </c>
      <c r="G81" s="73">
        <f>VLOOKUP(B81,'MEMÓRIA DE CÁLCULO'!$B:$H,7,)</f>
        <v>1</v>
      </c>
      <c r="H81" s="68"/>
      <c r="I81" s="68"/>
      <c r="J81" s="83"/>
      <c r="K81" s="649" t="e">
        <f t="shared" si="1"/>
        <v>#DIV/0!</v>
      </c>
    </row>
    <row r="82" spans="2:11" ht="15" x14ac:dyDescent="0.25">
      <c r="B82" s="81" t="s">
        <v>272</v>
      </c>
      <c r="C82" s="72" t="s">
        <v>1110</v>
      </c>
      <c r="D82" s="62">
        <f>VLOOKUP(B82,'MEMÓRIA DE CÁLCULO'!$B:$H,2,)</f>
        <v>71194</v>
      </c>
      <c r="E82" s="65" t="str">
        <f>VLOOKUP(B82,'MEMÓRIA DE CÁLCULO'!$B:$H,3,)</f>
        <v>ELETRODUTO PVC FLEXÍVEL - MANGUEIRA CORRUGADA LEVE - DIAM. 25MM</v>
      </c>
      <c r="F82" s="63" t="s">
        <v>63</v>
      </c>
      <c r="G82" s="73">
        <f>VLOOKUP(B82,'MEMÓRIA DE CÁLCULO'!$B:$H,7,)</f>
        <v>390</v>
      </c>
      <c r="H82" s="68"/>
      <c r="I82" s="68"/>
      <c r="J82" s="83"/>
      <c r="K82" s="649" t="e">
        <f t="shared" si="1"/>
        <v>#DIV/0!</v>
      </c>
    </row>
    <row r="83" spans="2:11" ht="15" x14ac:dyDescent="0.25">
      <c r="B83" s="81" t="s">
        <v>274</v>
      </c>
      <c r="C83" s="72" t="s">
        <v>1110</v>
      </c>
      <c r="D83" s="62">
        <f>VLOOKUP(B83,'MEMÓRIA DE CÁLCULO'!$B:$H,2,)</f>
        <v>71195</v>
      </c>
      <c r="E83" s="65" t="str">
        <f>VLOOKUP(B83,'MEMÓRIA DE CÁLCULO'!$B:$H,3,)</f>
        <v>ELETRODUTO PVC FLEXÍVEL - MANGUEIRA CORRUGADA LEVE - DIAM. 32MM</v>
      </c>
      <c r="F83" s="63" t="s">
        <v>63</v>
      </c>
      <c r="G83" s="73">
        <f>VLOOKUP(B83,'MEMÓRIA DE CÁLCULO'!$B:$H,7,)</f>
        <v>10</v>
      </c>
      <c r="H83" s="68"/>
      <c r="I83" s="68"/>
      <c r="J83" s="83"/>
      <c r="K83" s="649" t="e">
        <f t="shared" si="1"/>
        <v>#DIV/0!</v>
      </c>
    </row>
    <row r="84" spans="2:11" ht="15" x14ac:dyDescent="0.25">
      <c r="B84" s="81" t="s">
        <v>276</v>
      </c>
      <c r="C84" s="72" t="s">
        <v>1110</v>
      </c>
      <c r="D84" s="62">
        <f>VLOOKUP(B84,'MEMÓRIA DE CÁLCULO'!$B:$H,2,)</f>
        <v>71197</v>
      </c>
      <c r="E84" s="65" t="str">
        <f>VLOOKUP(B84,'MEMÓRIA DE CÁLCULO'!$B:$H,3,)</f>
        <v>ELETRODUTO PVC FLEXÍVEL - MANGUEIRA CORRUGADA REFORÇADA - DIAM. 50MM</v>
      </c>
      <c r="F84" s="63" t="s">
        <v>63</v>
      </c>
      <c r="G84" s="73">
        <f>VLOOKUP(B84,'MEMÓRIA DE CÁLCULO'!$B:$H,7,)</f>
        <v>40</v>
      </c>
      <c r="H84" s="68"/>
      <c r="I84" s="68"/>
      <c r="J84" s="83"/>
      <c r="K84" s="649" t="e">
        <f t="shared" si="1"/>
        <v>#DIV/0!</v>
      </c>
    </row>
    <row r="85" spans="2:11" ht="15" x14ac:dyDescent="0.25">
      <c r="B85" s="81" t="s">
        <v>278</v>
      </c>
      <c r="C85" s="72" t="s">
        <v>1120</v>
      </c>
      <c r="D85" s="62" t="str">
        <f>VLOOKUP(B85,'MEMÓRIA DE CÁLCULO'!$B:$H,2,)</f>
        <v>DER- ES 150309</v>
      </c>
      <c r="E85" s="65" t="str">
        <f>VLOOKUP(B85,'MEMÓRIA DE CÁLCULO'!$B:$H,3,)</f>
        <v>QUADRO DE DISTRIBUIÇÃO DE ENERGIA, DE EMBUTIR COM 32 DIVISÕES MODULARES EM PVC C/ BARRAMENTO</v>
      </c>
      <c r="F85" s="63" t="s">
        <v>67</v>
      </c>
      <c r="G85" s="73">
        <f>VLOOKUP(B85,'MEMÓRIA DE CÁLCULO'!$B:$H,7,)</f>
        <v>1</v>
      </c>
      <c r="H85" s="68"/>
      <c r="I85" s="68"/>
      <c r="J85" s="83"/>
      <c r="K85" s="649" t="e">
        <f t="shared" si="1"/>
        <v>#DIV/0!</v>
      </c>
    </row>
    <row r="86" spans="2:11" ht="15" x14ac:dyDescent="0.25">
      <c r="B86" s="81" t="s">
        <v>281</v>
      </c>
      <c r="C86" s="72" t="s">
        <v>1110</v>
      </c>
      <c r="D86" s="62">
        <f>VLOOKUP(B86,'MEMÓRIA DE CÁLCULO'!$B:$H,2,)</f>
        <v>72430</v>
      </c>
      <c r="E86" s="65" t="str">
        <f>VLOOKUP(B86,'MEMÓRIA DE CÁLCULO'!$B:$H,3,)</f>
        <v>TAMPA PARA CONDULETE DE PVC PARA 1 INTERRUPTOR</v>
      </c>
      <c r="F86" s="63" t="s">
        <v>67</v>
      </c>
      <c r="G86" s="73">
        <v>1</v>
      </c>
      <c r="H86" s="236"/>
      <c r="I86" s="68"/>
      <c r="J86" s="83"/>
      <c r="K86" s="649" t="e">
        <f t="shared" si="1"/>
        <v>#DIV/0!</v>
      </c>
    </row>
    <row r="87" spans="2:11" ht="15" x14ac:dyDescent="0.25">
      <c r="B87" s="81" t="s">
        <v>283</v>
      </c>
      <c r="C87" s="72" t="s">
        <v>1110</v>
      </c>
      <c r="D87" s="62">
        <f>VLOOKUP(B87,'MEMÓRIA DE CÁLCULO'!$B:$H,2,)</f>
        <v>72435</v>
      </c>
      <c r="E87" s="65" t="str">
        <f>VLOOKUP(B87,'MEMÓRIA DE CÁLCULO'!$B:$H,3,)</f>
        <v>TAMPA PARA CONDULETE DE PVC PARA 2 TOMADAS</v>
      </c>
      <c r="F87" s="63" t="s">
        <v>67</v>
      </c>
      <c r="G87" s="73">
        <f>VLOOKUP(B87,'MEMÓRIA DE CÁLCULO'!$B:$H,7,)</f>
        <v>8</v>
      </c>
      <c r="H87" s="68"/>
      <c r="I87" s="68"/>
      <c r="J87" s="83"/>
      <c r="K87" s="649" t="e">
        <f t="shared" si="1"/>
        <v>#DIV/0!</v>
      </c>
    </row>
    <row r="88" spans="2:11" ht="15" x14ac:dyDescent="0.25">
      <c r="B88" s="81" t="s">
        <v>285</v>
      </c>
      <c r="C88" s="72" t="s">
        <v>1110</v>
      </c>
      <c r="D88" s="62">
        <f>VLOOKUP(B88,'MEMÓRIA DE CÁLCULO'!$B:$H,2,)</f>
        <v>72441</v>
      </c>
      <c r="E88" s="65" t="str">
        <f>VLOOKUP(B88,'MEMÓRIA DE CÁLCULO'!$B:$H,3,)</f>
        <v>TAMPA PARA CONDULETE DE PVC PARA 1 TOMADA</v>
      </c>
      <c r="F88" s="63" t="s">
        <v>67</v>
      </c>
      <c r="G88" s="73">
        <f>VLOOKUP(B88,'MEMÓRIA DE CÁLCULO'!$B:$H,7,)</f>
        <v>55</v>
      </c>
      <c r="H88" s="68"/>
      <c r="I88" s="68"/>
      <c r="J88" s="83"/>
      <c r="K88" s="649" t="e">
        <f t="shared" si="1"/>
        <v>#DIV/0!</v>
      </c>
    </row>
    <row r="89" spans="2:11" ht="15" x14ac:dyDescent="0.25">
      <c r="B89" s="81" t="s">
        <v>287</v>
      </c>
      <c r="C89" s="72" t="s">
        <v>1110</v>
      </c>
      <c r="D89" s="62">
        <f>VLOOKUP(B89,'MEMÓRIA DE CÁLCULO'!$B:$H,2,)</f>
        <v>72442</v>
      </c>
      <c r="E89" s="65" t="str">
        <f>VLOOKUP(B89,'MEMÓRIA DE CÁLCULO'!$B:$H,3,)</f>
        <v>TAMPA PARA CONDULETE DE PVC PARA 1 INTERRUPTOR E 1 TOMADA</v>
      </c>
      <c r="F89" s="63" t="s">
        <v>67</v>
      </c>
      <c r="G89" s="73">
        <f>VLOOKUP(B89,'MEMÓRIA DE CÁLCULO'!$B:$H,7,)</f>
        <v>5</v>
      </c>
      <c r="H89" s="68"/>
      <c r="I89" s="68"/>
      <c r="J89" s="83"/>
      <c r="K89" s="649" t="e">
        <f t="shared" si="1"/>
        <v>#DIV/0!</v>
      </c>
    </row>
    <row r="90" spans="2:11" ht="15" x14ac:dyDescent="0.25">
      <c r="B90" s="81" t="s">
        <v>289</v>
      </c>
      <c r="C90" s="72" t="s">
        <v>1110</v>
      </c>
      <c r="D90" s="62">
        <f>VLOOKUP(B90,'MEMÓRIA DE CÁLCULO'!$B:$H,2,)</f>
        <v>72385</v>
      </c>
      <c r="E90" s="65" t="str">
        <f>VLOOKUP(B90,'MEMÓRIA DE CÁLCULO'!$B:$H,3,)</f>
        <v>TAMPA CEGA PARA CONDULETE DE PVC</v>
      </c>
      <c r="F90" s="63" t="s">
        <v>67</v>
      </c>
      <c r="G90" s="73">
        <f>VLOOKUP(B90,'MEMÓRIA DE CÁLCULO'!$B:$H,7,)</f>
        <v>6</v>
      </c>
      <c r="H90" s="68"/>
      <c r="I90" s="68"/>
      <c r="J90" s="83"/>
      <c r="K90" s="649" t="e">
        <f t="shared" si="1"/>
        <v>#DIV/0!</v>
      </c>
    </row>
    <row r="91" spans="2:11" ht="15" x14ac:dyDescent="0.25">
      <c r="B91" s="81" t="s">
        <v>291</v>
      </c>
      <c r="C91" s="72" t="s">
        <v>1110</v>
      </c>
      <c r="D91" s="62">
        <f>VLOOKUP(B91,'MEMÓRIA DE CÁLCULO'!$B:$H,2,)</f>
        <v>71598</v>
      </c>
      <c r="E91" s="65" t="str">
        <f>VLOOKUP(B91,'MEMÓRIA DE CÁLCULO'!$B:$H,3,)</f>
        <v>LUMINÁRIA DE EMERGÊNCIA 30 LEDS</v>
      </c>
      <c r="F91" s="63" t="s">
        <v>67</v>
      </c>
      <c r="G91" s="73">
        <f>VLOOKUP(B91,'MEMÓRIA DE CÁLCULO'!$B:$H,7,)</f>
        <v>25</v>
      </c>
      <c r="H91" s="68"/>
      <c r="I91" s="68"/>
      <c r="J91" s="83"/>
      <c r="K91" s="649" t="e">
        <f t="shared" si="1"/>
        <v>#DIV/0!</v>
      </c>
    </row>
    <row r="92" spans="2:11" ht="15" x14ac:dyDescent="0.25">
      <c r="B92" s="81" t="s">
        <v>293</v>
      </c>
      <c r="C92" s="72" t="s">
        <v>1110</v>
      </c>
      <c r="D92" s="62">
        <f>VLOOKUP(B92,'MEMÓRIA DE CÁLCULO'!$B:$H,2,)</f>
        <v>71321</v>
      </c>
      <c r="E92" s="65" t="str">
        <f>VLOOKUP(B92,'MEMÓRIA DE CÁLCULO'!$B:$H,3,)</f>
        <v>FITA DE AUTO FUSÃO, ROLO E 10,00 MM</v>
      </c>
      <c r="F92" s="63" t="s">
        <v>63</v>
      </c>
      <c r="G92" s="73">
        <f>VLOOKUP(B92,'MEMÓRIA DE CÁLCULO'!$B:$H,7,)</f>
        <v>150</v>
      </c>
      <c r="H92" s="68"/>
      <c r="I92" s="68"/>
      <c r="J92" s="83"/>
      <c r="K92" s="649" t="e">
        <f t="shared" si="1"/>
        <v>#DIV/0!</v>
      </c>
    </row>
    <row r="93" spans="2:11" ht="15" x14ac:dyDescent="0.25">
      <c r="B93" s="81" t="s">
        <v>295</v>
      </c>
      <c r="C93" s="72" t="s">
        <v>1110</v>
      </c>
      <c r="D93" s="62">
        <f>VLOOKUP(B93,'MEMÓRIA DE CÁLCULO'!$B:$H,2,)</f>
        <v>70681</v>
      </c>
      <c r="E93" s="65" t="str">
        <f>VLOOKUP(B93,'MEMÓRIA DE CÁLCULO'!$B:$H,3,)</f>
        <v>CAIXA METÁLICA OCTOGONAL FUNDO MÓVEL, SIMPLES 2"</v>
      </c>
      <c r="F93" s="63" t="s">
        <v>67</v>
      </c>
      <c r="G93" s="73">
        <f>VLOOKUP(B93,'MEMÓRIA DE CÁLCULO'!$B:$H,7,)</f>
        <v>50</v>
      </c>
      <c r="H93" s="68"/>
      <c r="I93" s="68"/>
      <c r="J93" s="83"/>
      <c r="K93" s="649" t="e">
        <f t="shared" si="1"/>
        <v>#DIV/0!</v>
      </c>
    </row>
    <row r="94" spans="2:11" ht="15" x14ac:dyDescent="0.25">
      <c r="B94" s="81" t="s">
        <v>297</v>
      </c>
      <c r="C94" s="72" t="s">
        <v>1110</v>
      </c>
      <c r="D94" s="62">
        <f>VLOOKUP(B94,'MEMÓRIA DE CÁLCULO'!$B:$H,2,)</f>
        <v>70924</v>
      </c>
      <c r="E94" s="65" t="str">
        <f>VLOOKUP(B94,'MEMÓRIA DE CÁLCULO'!$B:$H,3,)</f>
        <v>CONDULETE DE PVC - CAIXA COM 5 ENTRADAS</v>
      </c>
      <c r="F94" s="63" t="s">
        <v>67</v>
      </c>
      <c r="G94" s="73">
        <f>VLOOKUP(B94,'MEMÓRIA DE CÁLCULO'!$B:$H,7,)</f>
        <v>92</v>
      </c>
      <c r="H94" s="68"/>
      <c r="I94" s="68"/>
      <c r="J94" s="83"/>
      <c r="K94" s="649" t="e">
        <f t="shared" si="1"/>
        <v>#DIV/0!</v>
      </c>
    </row>
    <row r="95" spans="2:11" ht="15" x14ac:dyDescent="0.25">
      <c r="B95" s="81" t="s">
        <v>299</v>
      </c>
      <c r="C95" s="72" t="s">
        <v>1110</v>
      </c>
      <c r="D95" s="62">
        <f>VLOOKUP(B95,'MEMÓRIA DE CÁLCULO'!$B:$H,2,)</f>
        <v>71043</v>
      </c>
      <c r="E95" s="65" t="str">
        <f>VLOOKUP(B95,'MEMÓRIA DE CÁLCULO'!$B:$H,3,)</f>
        <v>CONECTOR TRIPOLAR EM PORCELANA PARA FIOS DE ATÉ 10MM2 (BORNES) 50A-250V ( CHUVEIRO</v>
      </c>
      <c r="F95" s="63" t="s">
        <v>67</v>
      </c>
      <c r="G95" s="73">
        <f>VLOOKUP(B95,'MEMÓRIA DE CÁLCULO'!$B:$H,7,)</f>
        <v>4</v>
      </c>
      <c r="H95" s="68"/>
      <c r="I95" s="68"/>
      <c r="J95" s="83"/>
      <c r="K95" s="649" t="e">
        <f t="shared" si="1"/>
        <v>#DIV/0!</v>
      </c>
    </row>
    <row r="96" spans="2:11" ht="15" x14ac:dyDescent="0.25">
      <c r="B96" s="81" t="s">
        <v>301</v>
      </c>
      <c r="C96" s="72" t="s">
        <v>1110</v>
      </c>
      <c r="D96" s="62">
        <f>VLOOKUP(B96,'MEMÓRIA DE CÁLCULO'!$B:$H,2,)</f>
        <v>71440</v>
      </c>
      <c r="E96" s="65" t="str">
        <f>VLOOKUP(B96,'MEMÓRIA DE CÁLCULO'!$B:$H,3,)</f>
        <v>INTERRUPTOR SIMPLES (1 SECAO)</v>
      </c>
      <c r="F96" s="63" t="s">
        <v>67</v>
      </c>
      <c r="G96" s="73">
        <f>VLOOKUP(B96,'MEMÓRIA DE CÁLCULO'!$B:$H,7,)</f>
        <v>18</v>
      </c>
      <c r="H96" s="68"/>
      <c r="I96" s="68"/>
      <c r="J96" s="83"/>
      <c r="K96" s="649" t="e">
        <f t="shared" si="1"/>
        <v>#DIV/0!</v>
      </c>
    </row>
    <row r="97" spans="2:11" ht="15" x14ac:dyDescent="0.25">
      <c r="B97" s="81" t="s">
        <v>303</v>
      </c>
      <c r="C97" s="72" t="s">
        <v>1111</v>
      </c>
      <c r="D97" s="62" t="str">
        <f>VLOOKUP(B97,'MEMÓRIA DE CÁLCULO'!$B:$H,2,)</f>
        <v>SINAPI 92025</v>
      </c>
      <c r="E97" s="65" t="str">
        <f>VLOOKUP(B97,'MEMÓRIA DE CÁLCULO'!$B:$H,3,)</f>
        <v>INTERRUPTOR SIMPLES (1 MÓDULO) COM 2 TOMADAS DE EMBUTIR 2P+T 10 A</v>
      </c>
      <c r="F97" s="63" t="s">
        <v>67</v>
      </c>
      <c r="G97" s="73">
        <f>VLOOKUP(B97,'MEMÓRIA DE CÁLCULO'!$B:$H,7,)</f>
        <v>5</v>
      </c>
      <c r="H97" s="68"/>
      <c r="I97" s="68"/>
      <c r="J97" s="83"/>
      <c r="K97" s="649" t="e">
        <f t="shared" si="1"/>
        <v>#DIV/0!</v>
      </c>
    </row>
    <row r="98" spans="2:11" ht="15" x14ac:dyDescent="0.25">
      <c r="B98" s="81" t="s">
        <v>306</v>
      </c>
      <c r="C98" s="72" t="s">
        <v>1110</v>
      </c>
      <c r="D98" s="62">
        <f>VLOOKUP(B98,'MEMÓRIA DE CÁLCULO'!$B:$H,2,)</f>
        <v>71431</v>
      </c>
      <c r="E98" s="65" t="str">
        <f>VLOOKUP(B98,'MEMÓRIA DE CÁLCULO'!$B:$H,3,)</f>
        <v>INTERRUPTOR PARALELO SIMPLES (1 SECAO)</v>
      </c>
      <c r="F98" s="63" t="s">
        <v>67</v>
      </c>
      <c r="G98" s="73">
        <f>VLOOKUP(B98,'MEMÓRIA DE CÁLCULO'!$B:$H,7,)</f>
        <v>2</v>
      </c>
      <c r="H98" s="68"/>
      <c r="I98" s="68"/>
      <c r="J98" s="83"/>
      <c r="K98" s="649" t="e">
        <f t="shared" si="1"/>
        <v>#DIV/0!</v>
      </c>
    </row>
    <row r="99" spans="2:11" ht="15" x14ac:dyDescent="0.25">
      <c r="B99" s="81" t="s">
        <v>308</v>
      </c>
      <c r="C99" s="72" t="s">
        <v>1111</v>
      </c>
      <c r="D99" s="62" t="str">
        <f>VLOOKUP(B99,'MEMÓRIA DE CÁLCULO'!$B:$H,2,)</f>
        <v>SINAPI 92027</v>
      </c>
      <c r="E99" s="65" t="str">
        <f>VLOOKUP(B99,'MEMÓRIA DE CÁLCULO'!$B:$H,3,)</f>
        <v>INTERRUPTOR SIMPLES (2 MÓDULOS) COM 1 TOMADA DE EMBUTIR 2P+T 10 A,</v>
      </c>
      <c r="F99" s="63" t="s">
        <v>67</v>
      </c>
      <c r="G99" s="73">
        <f>VLOOKUP(B99,'MEMÓRIA DE CÁLCULO'!$B:$H,7,)</f>
        <v>4</v>
      </c>
      <c r="H99" s="68"/>
      <c r="I99" s="68"/>
      <c r="J99" s="83"/>
      <c r="K99" s="649" t="e">
        <f t="shared" si="1"/>
        <v>#DIV/0!</v>
      </c>
    </row>
    <row r="100" spans="2:11" ht="15" x14ac:dyDescent="0.25">
      <c r="B100" s="81" t="s">
        <v>310</v>
      </c>
      <c r="C100" s="72" t="s">
        <v>1110</v>
      </c>
      <c r="D100" s="62">
        <f>VLOOKUP(B100,'MEMÓRIA DE CÁLCULO'!$B:$H,2,)</f>
        <v>72570</v>
      </c>
      <c r="E100" s="65" t="str">
        <f>VLOOKUP(B100,'MEMÓRIA DE CÁLCULO'!$B:$H,3,)</f>
        <v>TOMADA HEXAGONAL 2P + T - 10A - 250V (LINHA X OU EQUIVALENTE)</v>
      </c>
      <c r="F100" s="63" t="s">
        <v>67</v>
      </c>
      <c r="G100" s="73">
        <f>VLOOKUP(B100,'MEMÓRIA DE CÁLCULO'!$B:$H,7,)</f>
        <v>55</v>
      </c>
      <c r="H100" s="68"/>
      <c r="I100" s="68"/>
      <c r="J100" s="83"/>
      <c r="K100" s="649" t="e">
        <f t="shared" si="1"/>
        <v>#DIV/0!</v>
      </c>
    </row>
    <row r="101" spans="2:11" ht="15" x14ac:dyDescent="0.25">
      <c r="B101" s="81" t="s">
        <v>312</v>
      </c>
      <c r="C101" s="72" t="s">
        <v>1110</v>
      </c>
      <c r="D101" s="62">
        <f>VLOOKUP(B101,'MEMÓRIA DE CÁLCULO'!$B:$H,2,)</f>
        <v>72575</v>
      </c>
      <c r="E101" s="65" t="str">
        <f>VLOOKUP(B101,'MEMÓRIA DE CÁLCULO'!$B:$H,3,)</f>
        <v>TOMADA HEXAGONAL 2P + T - 20A - 250V (LINHA X OU EQUIVALENTE)</v>
      </c>
      <c r="F101" s="63" t="s">
        <v>67</v>
      </c>
      <c r="G101" s="73">
        <f>VLOOKUP(B101,'MEMÓRIA DE CÁLCULO'!$B:$H,7,)</f>
        <v>6</v>
      </c>
      <c r="H101" s="68"/>
      <c r="I101" s="68"/>
      <c r="J101" s="83"/>
      <c r="K101" s="649" t="e">
        <f t="shared" si="1"/>
        <v>#DIV/0!</v>
      </c>
    </row>
    <row r="102" spans="2:11" ht="15" x14ac:dyDescent="0.25">
      <c r="B102" s="81" t="s">
        <v>314</v>
      </c>
      <c r="C102" s="72" t="s">
        <v>1110</v>
      </c>
      <c r="D102" s="62">
        <f>VLOOKUP(B102,'MEMÓRIA DE CÁLCULO'!$B:$H,2,)</f>
        <v>70710</v>
      </c>
      <c r="E102" s="65" t="str">
        <f>VLOOKUP(B102,'MEMÓRIA DE CÁLCULO'!$B:$H,3,)</f>
        <v>CAIXA DE PASSAGEM 30X30X40CM COM TAMPA E DRENO BRITA</v>
      </c>
      <c r="F102" s="63" t="s">
        <v>67</v>
      </c>
      <c r="G102" s="73">
        <f>VLOOKUP(B102,'MEMÓRIA DE CÁLCULO'!$B:$H,7,)</f>
        <v>3</v>
      </c>
      <c r="H102" s="68"/>
      <c r="I102" s="68"/>
      <c r="J102" s="83"/>
      <c r="K102" s="649" t="e">
        <f t="shared" si="1"/>
        <v>#DIV/0!</v>
      </c>
    </row>
    <row r="103" spans="2:11" ht="15" x14ac:dyDescent="0.25">
      <c r="B103" s="81" t="s">
        <v>316</v>
      </c>
      <c r="C103" s="72" t="s">
        <v>1110</v>
      </c>
      <c r="D103" s="62">
        <f>VLOOKUP(B103,'MEMÓRIA DE CÁLCULO'!$B:$H,2,)</f>
        <v>70542</v>
      </c>
      <c r="E103" s="65" t="str">
        <f>VLOOKUP(B103,'MEMÓRIA DE CÁLCULO'!$B:$H,3,)</f>
        <v>CABO DE COBRE NU No. 25 MM2 (4,73 M /KG)</v>
      </c>
      <c r="F103" s="63" t="s">
        <v>63</v>
      </c>
      <c r="G103" s="73">
        <f>VLOOKUP(B103,'MEMÓRIA DE CÁLCULO'!$B:$H,7,)</f>
        <v>10</v>
      </c>
      <c r="H103" s="68"/>
      <c r="I103" s="68"/>
      <c r="J103" s="83"/>
      <c r="K103" s="649" t="e">
        <f t="shared" si="1"/>
        <v>#DIV/0!</v>
      </c>
    </row>
    <row r="104" spans="2:11" ht="15" x14ac:dyDescent="0.25">
      <c r="B104" s="81" t="s">
        <v>318</v>
      </c>
      <c r="C104" s="72" t="s">
        <v>1110</v>
      </c>
      <c r="D104" s="62">
        <f>VLOOKUP(B104,'MEMÓRIA DE CÁLCULO'!$B:$H,2,)</f>
        <v>71380</v>
      </c>
      <c r="E104" s="65" t="str">
        <f>VLOOKUP(B104,'MEMÓRIA DE CÁLCULO'!$B:$H,3,)</f>
        <v>HASTE REV.COBRE(COPPERWELD) 3/4" X 2,40 M C/CONECTOR</v>
      </c>
      <c r="F104" s="63" t="s">
        <v>67</v>
      </c>
      <c r="G104" s="73">
        <f>VLOOKUP(B104,'MEMÓRIA DE CÁLCULO'!$B:$H,7,)</f>
        <v>4</v>
      </c>
      <c r="H104" s="68"/>
      <c r="I104" s="68"/>
      <c r="J104" s="83"/>
      <c r="K104" s="649" t="e">
        <f t="shared" si="1"/>
        <v>#DIV/0!</v>
      </c>
    </row>
    <row r="105" spans="2:11" ht="15" x14ac:dyDescent="0.25">
      <c r="B105" s="81" t="s">
        <v>320</v>
      </c>
      <c r="C105" s="72" t="s">
        <v>1110</v>
      </c>
      <c r="D105" s="62" t="str">
        <f>VLOOKUP(B105,'MEMÓRIA DE CÁLCULO'!$B:$H,2,)</f>
        <v>COMPOSIÇÃO 2</v>
      </c>
      <c r="E105" s="65" t="str">
        <f>VLOOKUP(B105,'MEMÓRIA DE CÁLCULO'!$B:$H,3,)</f>
        <v>CONECTOR PARA HASTE DE ATERRAMENTO 3/4"</v>
      </c>
      <c r="F105" s="63" t="s">
        <v>67</v>
      </c>
      <c r="G105" s="73">
        <f>VLOOKUP(B105,'MEMÓRIA DE CÁLCULO'!$B:$H,7,)</f>
        <v>5</v>
      </c>
      <c r="H105" s="68"/>
      <c r="I105" s="68"/>
      <c r="J105" s="83"/>
      <c r="K105" s="649" t="e">
        <f t="shared" si="1"/>
        <v>#DIV/0!</v>
      </c>
    </row>
    <row r="106" spans="2:11" ht="15" x14ac:dyDescent="0.25">
      <c r="B106" s="81" t="s">
        <v>323</v>
      </c>
      <c r="C106" s="72" t="s">
        <v>1110</v>
      </c>
      <c r="D106" s="62" t="str">
        <f>VLOOKUP(B106,'MEMÓRIA DE CÁLCULO'!$B:$H,2,)</f>
        <v>071560</v>
      </c>
      <c r="E106" s="65" t="str">
        <f>VLOOKUP(B106,'MEMÓRIA DE CÁLCULO'!$B:$H,3,)</f>
        <v>LAMPADA MISTA DE 160 W</v>
      </c>
      <c r="F106" s="63" t="s">
        <v>67</v>
      </c>
      <c r="G106" s="73">
        <f>VLOOKUP(B106,'MEMÓRIA DE CÁLCULO'!$B:$H,7,)</f>
        <v>8</v>
      </c>
      <c r="H106" s="68"/>
      <c r="I106" s="68"/>
      <c r="J106" s="83"/>
      <c r="K106" s="649" t="e">
        <f t="shared" si="1"/>
        <v>#DIV/0!</v>
      </c>
    </row>
    <row r="107" spans="2:11" ht="15" x14ac:dyDescent="0.25">
      <c r="B107" s="14"/>
      <c r="C107" s="121"/>
      <c r="D107" s="121"/>
      <c r="E107" s="105"/>
      <c r="G107" s="251"/>
      <c r="H107" s="122"/>
      <c r="I107" s="122"/>
      <c r="J107" s="123"/>
      <c r="K107" s="649" t="e">
        <f t="shared" si="1"/>
        <v>#DIV/0!</v>
      </c>
    </row>
    <row r="108" spans="2:11" s="11" customFormat="1" ht="15" x14ac:dyDescent="0.25">
      <c r="B108" s="849" t="s">
        <v>1121</v>
      </c>
      <c r="C108" s="850"/>
      <c r="D108" s="850"/>
      <c r="E108" s="850"/>
      <c r="F108" s="850"/>
      <c r="G108" s="850"/>
      <c r="H108" s="850"/>
      <c r="I108" s="851"/>
      <c r="J108" s="38">
        <f>J110+J148+J176+J188</f>
        <v>0</v>
      </c>
      <c r="K108" s="649" t="e">
        <f t="shared" si="1"/>
        <v>#DIV/0!</v>
      </c>
    </row>
    <row r="109" spans="2:11" s="11" customFormat="1" ht="15" x14ac:dyDescent="0.25">
      <c r="B109" s="10">
        <v>7</v>
      </c>
      <c r="C109" s="847" t="s">
        <v>1122</v>
      </c>
      <c r="D109" s="847"/>
      <c r="E109" s="847"/>
      <c r="F109" s="847"/>
      <c r="G109" s="847"/>
      <c r="H109" s="847"/>
      <c r="I109" s="847"/>
      <c r="J109" s="848"/>
      <c r="K109" s="649" t="e">
        <f t="shared" si="1"/>
        <v>#DIV/0!</v>
      </c>
    </row>
    <row r="110" spans="2:11" s="11" customFormat="1" ht="15" x14ac:dyDescent="0.25">
      <c r="B110" s="860" t="s">
        <v>1123</v>
      </c>
      <c r="C110" s="861"/>
      <c r="D110" s="861"/>
      <c r="E110" s="861"/>
      <c r="F110" s="861"/>
      <c r="G110" s="861"/>
      <c r="H110" s="861"/>
      <c r="I110" s="861"/>
      <c r="J110" s="75">
        <f>SUM(J111:J147)</f>
        <v>0</v>
      </c>
      <c r="K110" s="649" t="e">
        <f t="shared" si="1"/>
        <v>#DIV/0!</v>
      </c>
    </row>
    <row r="111" spans="2:11" s="11" customFormat="1" ht="15" x14ac:dyDescent="0.25">
      <c r="B111" s="81" t="s">
        <v>329</v>
      </c>
      <c r="C111" s="62" t="s">
        <v>1110</v>
      </c>
      <c r="D111" s="62">
        <f>VLOOKUP(B111,'MEMÓRIA DE CÁLCULO'!$B:$H,2,)</f>
        <v>80810</v>
      </c>
      <c r="E111" s="65" t="str">
        <f>VLOOKUP(B111,'MEMÓRIA DE CÁLCULO'!$B:$H,3,)</f>
        <v>TORNEIRA DE PAREDE PARA TANQUE COM AREJADOR DIÂMETRO DE 1/2" E 3/4"</v>
      </c>
      <c r="F111" s="63" t="s">
        <v>67</v>
      </c>
      <c r="G111" s="73">
        <f>VLOOKUP(B111,'MEMÓRIA DE CÁLCULO'!$B:$H,7,)</f>
        <v>4</v>
      </c>
      <c r="H111" s="68"/>
      <c r="I111" s="68"/>
      <c r="J111" s="83"/>
      <c r="K111" s="649" t="e">
        <f t="shared" si="1"/>
        <v>#DIV/0!</v>
      </c>
    </row>
    <row r="112" spans="2:11" s="11" customFormat="1" ht="15" x14ac:dyDescent="0.25">
      <c r="B112" s="81" t="s">
        <v>333</v>
      </c>
      <c r="C112" s="62" t="s">
        <v>1110</v>
      </c>
      <c r="D112" s="62">
        <f>VLOOKUP(B112,'MEMÓRIA DE CÁLCULO'!$B:$H,2,)</f>
        <v>80811</v>
      </c>
      <c r="E112" s="65" t="str">
        <f>VLOOKUP(B112,'MEMÓRIA DE CÁLCULO'!$B:$H,3,)</f>
        <v>TORNEIRA DE JARDIM COM BICO PARA MANGUEIRA DIÂMETRO DE 1/2" E 3/4"</v>
      </c>
      <c r="F112" s="63" t="s">
        <v>67</v>
      </c>
      <c r="G112" s="73">
        <f>VLOOKUP(B112,'MEMÓRIA DE CÁLCULO'!$B:$H,7,)</f>
        <v>4</v>
      </c>
      <c r="H112" s="68"/>
      <c r="I112" s="68"/>
      <c r="J112" s="83"/>
      <c r="K112" s="649" t="e">
        <f t="shared" si="1"/>
        <v>#DIV/0!</v>
      </c>
    </row>
    <row r="113" spans="2:11" s="11" customFormat="1" ht="15" x14ac:dyDescent="0.25">
      <c r="B113" s="81" t="s">
        <v>337</v>
      </c>
      <c r="C113" s="62" t="s">
        <v>1110</v>
      </c>
      <c r="D113" s="62">
        <f>VLOOKUP(B113,'MEMÓRIA DE CÁLCULO'!$B:$H,2,)</f>
        <v>80721</v>
      </c>
      <c r="E113" s="65" t="str">
        <f>VLOOKUP(B113,'MEMÓRIA DE CÁLCULO'!$B:$H,3,)</f>
        <v>CHUVEIRO ELÉTRICO EM PVC COM BRAÇO METÁLICO</v>
      </c>
      <c r="F113" s="63" t="s">
        <v>67</v>
      </c>
      <c r="G113" s="73">
        <f>VLOOKUP(B113,'MEMÓRIA DE CÁLCULO'!$B:$H,7,)</f>
        <v>4</v>
      </c>
      <c r="H113" s="68"/>
      <c r="I113" s="68"/>
      <c r="J113" s="83"/>
      <c r="K113" s="649" t="e">
        <f t="shared" si="1"/>
        <v>#DIV/0!</v>
      </c>
    </row>
    <row r="114" spans="2:11" s="11" customFormat="1" ht="15" x14ac:dyDescent="0.25">
      <c r="B114" s="81" t="s">
        <v>343</v>
      </c>
      <c r="C114" s="62" t="s">
        <v>1110</v>
      </c>
      <c r="D114" s="62">
        <f>VLOOKUP(B114,'MEMÓRIA DE CÁLCULO'!$B:$H,2,)</f>
        <v>80590</v>
      </c>
      <c r="E114" s="65" t="str">
        <f>VLOOKUP(B114,'MEMÓRIA DE CÁLCULO'!$B:$H,3,)</f>
        <v>CUBA DE LOUÇA DE EMBUTIR OVAL MÉDIA</v>
      </c>
      <c r="F114" s="63" t="s">
        <v>67</v>
      </c>
      <c r="G114" s="73">
        <f>VLOOKUP(B114,'MEMÓRIA DE CÁLCULO'!$B:$H,7,)</f>
        <v>8</v>
      </c>
      <c r="H114" s="68"/>
      <c r="I114" s="68"/>
      <c r="J114" s="83"/>
      <c r="K114" s="649" t="e">
        <f t="shared" si="1"/>
        <v>#DIV/0!</v>
      </c>
    </row>
    <row r="115" spans="2:11" s="11" customFormat="1" ht="15" x14ac:dyDescent="0.25">
      <c r="B115" s="81" t="s">
        <v>345</v>
      </c>
      <c r="C115" s="62" t="s">
        <v>1110</v>
      </c>
      <c r="D115" s="62">
        <f>VLOOKUP(B115,'MEMÓRIA DE CÁLCULO'!$B:$H,2,)</f>
        <v>80572</v>
      </c>
      <c r="E115" s="65" t="str">
        <f>VLOOKUP(B115,'MEMÓRIA DE CÁLCULO'!$B:$H,3,)</f>
        <v>TORNEIRA DE MESA COM FECHAMENTO AUTOMÁTICO TEMPORIZADO PARA LAVATÓRIO DIÂMETRO DE 1/2"</v>
      </c>
      <c r="F115" s="63" t="s">
        <v>67</v>
      </c>
      <c r="G115" s="73">
        <f>VLOOKUP(B115,'MEMÓRIA DE CÁLCULO'!$B:$H,7,)</f>
        <v>10</v>
      </c>
      <c r="H115" s="68"/>
      <c r="I115" s="68"/>
      <c r="J115" s="83"/>
      <c r="K115" s="649" t="e">
        <f t="shared" si="1"/>
        <v>#DIV/0!</v>
      </c>
    </row>
    <row r="116" spans="2:11" ht="15" x14ac:dyDescent="0.25">
      <c r="B116" s="81" t="s">
        <v>348</v>
      </c>
      <c r="C116" s="62" t="s">
        <v>1110</v>
      </c>
      <c r="D116" s="62">
        <f>VLOOKUP(B116,'MEMÓRIA DE CÁLCULO'!$B:$H,2,)</f>
        <v>80656</v>
      </c>
      <c r="E116" s="65" t="str">
        <f>VLOOKUP(B116,'MEMÓRIA DE CÁLCULO'!$B:$H,3,)</f>
        <v>TORNEIRA DE MESA PARA PIA DIÂMETRO DE 1/2" - BICA MÓVEL</v>
      </c>
      <c r="F116" s="63" t="s">
        <v>67</v>
      </c>
      <c r="G116" s="73">
        <f>VLOOKUP(B116,'MEMÓRIA DE CÁLCULO'!$B:$H,7,)</f>
        <v>12</v>
      </c>
      <c r="H116" s="68"/>
      <c r="I116" s="68"/>
      <c r="J116" s="83"/>
      <c r="K116" s="649" t="e">
        <f t="shared" si="1"/>
        <v>#DIV/0!</v>
      </c>
    </row>
    <row r="117" spans="2:11" s="11" customFormat="1" ht="15" x14ac:dyDescent="0.25">
      <c r="B117" s="81" t="s">
        <v>356</v>
      </c>
      <c r="C117" s="62" t="s">
        <v>1110</v>
      </c>
      <c r="D117" s="62">
        <f>VLOOKUP(B117,'MEMÓRIA DE CÁLCULO'!$B:$H,2,)</f>
        <v>80556</v>
      </c>
      <c r="E117" s="65" t="str">
        <f>VLOOKUP(B117,'MEMÓRIA DE CÁLCULO'!$B:$H,3,)</f>
        <v>LIGAÇÃO FLEXÍVEL PVC DIAM.1/2" (ENGATE)</v>
      </c>
      <c r="F117" s="63" t="s">
        <v>67</v>
      </c>
      <c r="G117" s="73">
        <f>VLOOKUP(B117,'MEMÓRIA DE CÁLCULO'!$B:$H,7,)</f>
        <v>28</v>
      </c>
      <c r="H117" s="68"/>
      <c r="I117" s="68"/>
      <c r="J117" s="83"/>
      <c r="K117" s="649" t="e">
        <f t="shared" si="1"/>
        <v>#DIV/0!</v>
      </c>
    </row>
    <row r="118" spans="2:11" s="11" customFormat="1" ht="15" x14ac:dyDescent="0.25">
      <c r="B118" s="81" t="s">
        <v>358</v>
      </c>
      <c r="C118" s="62" t="s">
        <v>1110</v>
      </c>
      <c r="D118" s="62">
        <f>VLOOKUP(B118,'MEMÓRIA DE CÁLCULO'!$B:$H,2,)</f>
        <v>80561</v>
      </c>
      <c r="E118" s="65" t="str">
        <f>VLOOKUP(B118,'MEMÓRIA DE CÁLCULO'!$B:$H,3,)</f>
        <v>SIFAO P/LAVATORIO PVC DIAM.1"X1.1/2"</v>
      </c>
      <c r="F118" s="63" t="s">
        <v>67</v>
      </c>
      <c r="G118" s="73">
        <f>VLOOKUP(B118,'MEMÓRIA DE CÁLCULO'!$B:$H,7,)</f>
        <v>9</v>
      </c>
      <c r="H118" s="68"/>
      <c r="I118" s="68"/>
      <c r="J118" s="83"/>
      <c r="K118" s="649" t="e">
        <f t="shared" si="1"/>
        <v>#DIV/0!</v>
      </c>
    </row>
    <row r="119" spans="2:11" s="11" customFormat="1" ht="15" x14ac:dyDescent="0.25">
      <c r="B119" s="81" t="s">
        <v>360</v>
      </c>
      <c r="C119" s="62" t="s">
        <v>1110</v>
      </c>
      <c r="D119" s="62">
        <f>VLOOKUP(B119,'MEMÓRIA DE CÁLCULO'!$B:$H,2,)</f>
        <v>80671</v>
      </c>
      <c r="E119" s="65" t="str">
        <f>VLOOKUP(B119,'MEMÓRIA DE CÁLCULO'!$B:$H,3,)</f>
        <v>SIFÃO PVC P/PIA 1.1/2" X 2"</v>
      </c>
      <c r="F119" s="63" t="s">
        <v>67</v>
      </c>
      <c r="G119" s="73">
        <f>VLOOKUP(B119,'MEMÓRIA DE CÁLCULO'!$B:$H,7,)</f>
        <v>12</v>
      </c>
      <c r="H119" s="68"/>
      <c r="I119" s="68"/>
      <c r="J119" s="83"/>
      <c r="K119" s="649" t="e">
        <f t="shared" si="1"/>
        <v>#DIV/0!</v>
      </c>
    </row>
    <row r="120" spans="2:11" s="11" customFormat="1" ht="15" x14ac:dyDescent="0.25">
      <c r="B120" s="81" t="s">
        <v>362</v>
      </c>
      <c r="C120" s="62" t="s">
        <v>1110</v>
      </c>
      <c r="D120" s="62">
        <f>VLOOKUP(B120,'MEMÓRIA DE CÁLCULO'!$B:$H,2,)</f>
        <v>80532</v>
      </c>
      <c r="E120" s="65" t="str">
        <f>VLOOKUP(B120,'MEMÓRIA DE CÁLCULO'!$B:$H,3,)</f>
        <v>PORTA PAPEL HIGIÊNICO EM METAL/ACABAMENTO CROMADO</v>
      </c>
      <c r="F120" s="63" t="s">
        <v>67</v>
      </c>
      <c r="G120" s="73">
        <f>VLOOKUP(B120,'MEMÓRIA DE CÁLCULO'!$B:$H,7,)</f>
        <v>9</v>
      </c>
      <c r="H120" s="68"/>
      <c r="I120" s="68"/>
      <c r="J120" s="83"/>
      <c r="K120" s="649" t="e">
        <f t="shared" si="1"/>
        <v>#DIV/0!</v>
      </c>
    </row>
    <row r="121" spans="2:11" s="11" customFormat="1" ht="15" x14ac:dyDescent="0.25">
      <c r="B121" s="81" t="s">
        <v>364</v>
      </c>
      <c r="C121" s="62" t="s">
        <v>1110</v>
      </c>
      <c r="D121" s="62">
        <f>VLOOKUP(B121,'MEMÓRIA DE CÁLCULO'!$B:$H,2,)</f>
        <v>80730</v>
      </c>
      <c r="E121" s="65" t="str">
        <f>VLOOKUP(B121,'MEMÓRIA DE CÁLCULO'!$B:$H,3,)</f>
        <v>CABIDE TIPO GANCHO EM LOUÇA</v>
      </c>
      <c r="F121" s="63" t="s">
        <v>67</v>
      </c>
      <c r="G121" s="73">
        <f>VLOOKUP(B121,'MEMÓRIA DE CÁLCULO'!$B:$H,7,)</f>
        <v>8</v>
      </c>
      <c r="H121" s="68"/>
      <c r="I121" s="68"/>
      <c r="J121" s="83"/>
      <c r="K121" s="649" t="e">
        <f t="shared" si="1"/>
        <v>#DIV/0!</v>
      </c>
    </row>
    <row r="122" spans="2:11" s="11" customFormat="1" ht="15" x14ac:dyDescent="0.25">
      <c r="B122" s="81" t="s">
        <v>366</v>
      </c>
      <c r="C122" s="62" t="s">
        <v>1111</v>
      </c>
      <c r="D122" s="62" t="str">
        <f>VLOOKUP(B122,'MEMÓRIA DE CÁLCULO'!$B:$H,2,)</f>
        <v>SINAPI 95547</v>
      </c>
      <c r="E122" s="65" t="str">
        <f>VLOOKUP(B122,'MEMÓRIA DE CÁLCULO'!$B:$H,3,)</f>
        <v>SABONETEIRA PLÁSTICA TIPO DISPENSER PARA SABONETE LÍQUIDO COM RESERVATÓRIO UN 800 A 1500 ML, INCLUSO FIXAÇÃO</v>
      </c>
      <c r="F122" s="63" t="s">
        <v>67</v>
      </c>
      <c r="G122" s="73">
        <f>VLOOKUP(B122,'MEMÓRIA DE CÁLCULO'!$B:$H,7,)</f>
        <v>17</v>
      </c>
      <c r="H122" s="68"/>
      <c r="I122" s="68"/>
      <c r="J122" s="83"/>
      <c r="K122" s="649" t="e">
        <f t="shared" si="1"/>
        <v>#DIV/0!</v>
      </c>
    </row>
    <row r="123" spans="2:11" s="11" customFormat="1" ht="15" x14ac:dyDescent="0.25">
      <c r="B123" s="81" t="s">
        <v>369</v>
      </c>
      <c r="C123" s="62" t="s">
        <v>1110</v>
      </c>
      <c r="D123" s="62">
        <f>VLOOKUP(B123,'MEMÓRIA DE CÁLCULO'!$B:$H,2,)</f>
        <v>80686</v>
      </c>
      <c r="E123" s="65" t="str">
        <f>VLOOKUP(B123,'MEMÓRIA DE CÁLCULO'!$B:$H,3,)</f>
        <v>CUBA INOX 56X34X17CM E=0,6MM-AÇO 304 (CUBA Nº2)</v>
      </c>
      <c r="F123" s="63" t="s">
        <v>67</v>
      </c>
      <c r="G123" s="73">
        <f>VLOOKUP(B123,'MEMÓRIA DE CÁLCULO'!$B:$H,7,)</f>
        <v>7</v>
      </c>
      <c r="H123" s="68"/>
      <c r="I123" s="68"/>
      <c r="J123" s="83"/>
      <c r="K123" s="649" t="e">
        <f t="shared" si="1"/>
        <v>#DIV/0!</v>
      </c>
    </row>
    <row r="124" spans="2:11" s="11" customFormat="1" ht="15" x14ac:dyDescent="0.25">
      <c r="B124" s="81" t="s">
        <v>373</v>
      </c>
      <c r="C124" s="62" t="s">
        <v>1110</v>
      </c>
      <c r="D124" s="62">
        <f>VLOOKUP(B124,'MEMÓRIA DE CÁLCULO'!$B:$H,2,)</f>
        <v>80687</v>
      </c>
      <c r="E124" s="65" t="str">
        <f>VLOOKUP(B124,'MEMÓRIA DE CÁLCULO'!$B:$H,3,)</f>
        <v>CUBA INOX 35X40X15CM E=0,6MM-AÇO 304 (CUBA Nº 3)</v>
      </c>
      <c r="F124" s="63" t="s">
        <v>67</v>
      </c>
      <c r="G124" s="73">
        <f>VLOOKUP(B124,'MEMÓRIA DE CÁLCULO'!$B:$H,7,)</f>
        <v>4</v>
      </c>
      <c r="H124" s="68"/>
      <c r="I124" s="68"/>
      <c r="J124" s="83"/>
      <c r="K124" s="649" t="e">
        <f t="shared" si="1"/>
        <v>#DIV/0!</v>
      </c>
    </row>
    <row r="125" spans="2:11" s="11" customFormat="1" ht="15" x14ac:dyDescent="0.25">
      <c r="B125" s="81" t="s">
        <v>375</v>
      </c>
      <c r="C125" s="62" t="s">
        <v>1110</v>
      </c>
      <c r="D125" s="62">
        <f>VLOOKUP(B125,'MEMÓRIA DE CÁLCULO'!$B:$H,2,)</f>
        <v>80693</v>
      </c>
      <c r="E125" s="65" t="str">
        <f>VLOOKUP(B125,'MEMÓRIA DE CÁLCULO'!$B:$H,3,)</f>
        <v xml:space="preserve">TANQUE (PANELAO) INOX 60 X 70 X 40 CM CH.18 </v>
      </c>
      <c r="F125" s="63" t="s">
        <v>67</v>
      </c>
      <c r="G125" s="73">
        <f>VLOOKUP(B125,'MEMÓRIA DE CÁLCULO'!$B:$H,7,)</f>
        <v>4</v>
      </c>
      <c r="H125" s="68"/>
      <c r="I125" s="68"/>
      <c r="J125" s="83"/>
      <c r="K125" s="649" t="e">
        <f t="shared" si="1"/>
        <v>#DIV/0!</v>
      </c>
    </row>
    <row r="126" spans="2:11" s="11" customFormat="1" ht="15" x14ac:dyDescent="0.25">
      <c r="B126" s="81" t="s">
        <v>377</v>
      </c>
      <c r="C126" s="62" t="s">
        <v>1110</v>
      </c>
      <c r="D126" s="62">
        <f>VLOOKUP(B126,'MEMÓRIA DE CÁLCULO'!$B:$H,2,)</f>
        <v>80801</v>
      </c>
      <c r="E126" s="65" t="str">
        <f>VLOOKUP(B126,'MEMÓRIA DE CÁLCULO'!$B:$H,3,)</f>
        <v>TANQUE MÁRMORE/GRANITO SINTÉTICO C/UMA CUBA E 1 BATEDOR</v>
      </c>
      <c r="F126" s="63" t="s">
        <v>67</v>
      </c>
      <c r="G126" s="73">
        <f>VLOOKUP(B126,'MEMÓRIA DE CÁLCULO'!$B:$H,7,)</f>
        <v>1</v>
      </c>
      <c r="H126" s="68"/>
      <c r="I126" s="68"/>
      <c r="J126" s="83"/>
      <c r="K126" s="649" t="e">
        <f t="shared" si="1"/>
        <v>#DIV/0!</v>
      </c>
    </row>
    <row r="127" spans="2:11" s="11" customFormat="1" ht="15" x14ac:dyDescent="0.25">
      <c r="B127" s="81" t="s">
        <v>379</v>
      </c>
      <c r="C127" s="62" t="s">
        <v>1110</v>
      </c>
      <c r="D127" s="62">
        <f>VLOOKUP(B127,'MEMÓRIA DE CÁLCULO'!$B:$H,2,)</f>
        <v>80803</v>
      </c>
      <c r="E127" s="65" t="str">
        <f>VLOOKUP(B127,'MEMÓRIA DE CÁLCULO'!$B:$H,3,)</f>
        <v>TANQUE MÁRMORE/GRANITO SINTÉTICO / 1 BATEDOR</v>
      </c>
      <c r="F127" s="63" t="s">
        <v>67</v>
      </c>
      <c r="G127" s="73">
        <f>VLOOKUP(B127,'MEMÓRIA DE CÁLCULO'!$B:$H,7,)</f>
        <v>1</v>
      </c>
      <c r="H127" s="68"/>
      <c r="I127" s="68"/>
      <c r="J127" s="83"/>
      <c r="K127" s="649" t="e">
        <f t="shared" si="1"/>
        <v>#DIV/0!</v>
      </c>
    </row>
    <row r="128" spans="2:11" s="11" customFormat="1" ht="15" x14ac:dyDescent="0.25">
      <c r="B128" s="81" t="s">
        <v>381</v>
      </c>
      <c r="C128" s="62" t="s">
        <v>1110</v>
      </c>
      <c r="D128" s="62">
        <f>VLOOKUP(B128,'MEMÓRIA DE CÁLCULO'!$B:$H,2,)</f>
        <v>80680</v>
      </c>
      <c r="E128" s="65" t="str">
        <f>VLOOKUP(B128,'MEMÓRIA DE CÁLCULO'!$B:$H,3,)</f>
        <v>VÁLVULA P/PIA TIPO AMERICANA DIAM.3.1/2" (METAL)</v>
      </c>
      <c r="F128" s="63" t="s">
        <v>67</v>
      </c>
      <c r="G128" s="73">
        <f>VLOOKUP(B128,'MEMÓRIA DE CÁLCULO'!$B:$H,7,)</f>
        <v>13</v>
      </c>
      <c r="H128" s="68"/>
      <c r="I128" s="68"/>
      <c r="J128" s="83"/>
      <c r="K128" s="649" t="e">
        <f t="shared" si="1"/>
        <v>#DIV/0!</v>
      </c>
    </row>
    <row r="129" spans="2:11" s="11" customFormat="1" ht="15" x14ac:dyDescent="0.25">
      <c r="B129" s="81" t="s">
        <v>383</v>
      </c>
      <c r="C129" s="62" t="s">
        <v>1110</v>
      </c>
      <c r="D129" s="62">
        <f>VLOOKUP(B129,'MEMÓRIA DE CÁLCULO'!$B:$H,2,)</f>
        <v>80510</v>
      </c>
      <c r="E129" s="65" t="str">
        <f>VLOOKUP(B129,'MEMÓRIA DE CÁLCULO'!$B:$H,3,)</f>
        <v>ANEL DE VEDAÇÃO PARA VASO SANITÁRIO</v>
      </c>
      <c r="F129" s="63" t="s">
        <v>67</v>
      </c>
      <c r="G129" s="73">
        <f>VLOOKUP(B129,'MEMÓRIA DE CÁLCULO'!$B:$H,7,)</f>
        <v>7</v>
      </c>
      <c r="H129" s="68"/>
      <c r="I129" s="68"/>
      <c r="J129" s="83"/>
      <c r="K129" s="649" t="e">
        <f t="shared" si="1"/>
        <v>#DIV/0!</v>
      </c>
    </row>
    <row r="130" spans="2:11" s="11" customFormat="1" ht="15" x14ac:dyDescent="0.25">
      <c r="B130" s="81" t="s">
        <v>385</v>
      </c>
      <c r="C130" s="62" t="s">
        <v>1110</v>
      </c>
      <c r="D130" s="62">
        <f>VLOOKUP(B130,'MEMÓRIA DE CÁLCULO'!$B:$H,2,)</f>
        <v>80520</v>
      </c>
      <c r="E130" s="65" t="str">
        <f>VLOOKUP(B130,'MEMÓRIA DE CÁLCULO'!$B:$H,3,)</f>
        <v>CONJUNTO DE FIXAÇÃO P/VASO SANITÁRIO (PAR)</v>
      </c>
      <c r="F130" s="63" t="s">
        <v>67</v>
      </c>
      <c r="G130" s="73">
        <f>VLOOKUP(B130,'MEMÓRIA DE CÁLCULO'!$B:$H,7,)</f>
        <v>7</v>
      </c>
      <c r="H130" s="68"/>
      <c r="I130" s="68"/>
      <c r="J130" s="83"/>
      <c r="K130" s="649" t="e">
        <f t="shared" si="1"/>
        <v>#DIV/0!</v>
      </c>
    </row>
    <row r="131" spans="2:11" s="11" customFormat="1" ht="15" x14ac:dyDescent="0.25">
      <c r="B131" s="81" t="s">
        <v>387</v>
      </c>
      <c r="C131" s="62" t="s">
        <v>1110</v>
      </c>
      <c r="D131" s="62">
        <f>VLOOKUP(B131,'MEMÓRIA DE CÁLCULO'!$B:$H,2,)</f>
        <v>81008</v>
      </c>
      <c r="E131" s="65" t="str">
        <f>VLOOKUP(B131,'MEMÓRIA DE CÁLCULO'!$B:$H,3,)</f>
        <v>TUBO SOLDÁVEL PVC MARROM DIÂM.(75 mm)</v>
      </c>
      <c r="F131" s="63" t="s">
        <v>63</v>
      </c>
      <c r="G131" s="73">
        <f>VLOOKUP(B131,'MEMÓRIA DE CÁLCULO'!$B:$H,7,)</f>
        <v>27</v>
      </c>
      <c r="H131" s="68"/>
      <c r="I131" s="68"/>
      <c r="J131" s="83"/>
      <c r="K131" s="649" t="e">
        <f t="shared" si="1"/>
        <v>#DIV/0!</v>
      </c>
    </row>
    <row r="132" spans="2:11" s="11" customFormat="1" ht="15" x14ac:dyDescent="0.25">
      <c r="B132" s="81" t="s">
        <v>390</v>
      </c>
      <c r="C132" s="62" t="s">
        <v>1110</v>
      </c>
      <c r="D132" s="62">
        <f>VLOOKUP(B132,'MEMÓRIA DE CÁLCULO'!$B:$H,2,)</f>
        <v>81006</v>
      </c>
      <c r="E132" s="65" t="str">
        <f>VLOOKUP(B132,'MEMÓRIA DE CÁLCULO'!$B:$H,3,)</f>
        <v>TUBO SOLDÁVEL PVC MARROM DIAMETRO 50 mm</v>
      </c>
      <c r="F132" s="63" t="s">
        <v>63</v>
      </c>
      <c r="G132" s="73">
        <f>VLOOKUP(B132,'MEMÓRIA DE CÁLCULO'!$B:$H,7,)</f>
        <v>18</v>
      </c>
      <c r="H132" s="68"/>
      <c r="I132" s="68"/>
      <c r="J132" s="83"/>
      <c r="K132" s="649" t="e">
        <f t="shared" si="1"/>
        <v>#DIV/0!</v>
      </c>
    </row>
    <row r="133" spans="2:11" s="11" customFormat="1" ht="15" x14ac:dyDescent="0.25">
      <c r="B133" s="81" t="s">
        <v>392</v>
      </c>
      <c r="C133" s="62" t="s">
        <v>1110</v>
      </c>
      <c r="D133" s="62">
        <f>VLOOKUP(B133,'MEMÓRIA DE CÁLCULO'!$B:$H,2,)</f>
        <v>81005</v>
      </c>
      <c r="E133" s="65" t="str">
        <f>VLOOKUP(B133,'MEMÓRIA DE CÁLCULO'!$B:$H,3,)</f>
        <v>TUBO SOLDÁVEL PVC MARROM DIÂMETRO 32 mm</v>
      </c>
      <c r="F133" s="63" t="s">
        <v>63</v>
      </c>
      <c r="G133" s="73">
        <f>VLOOKUP(B133,'MEMÓRIA DE CÁLCULO'!$B:$H,7,)</f>
        <v>90</v>
      </c>
      <c r="H133" s="68"/>
      <c r="I133" s="68"/>
      <c r="J133" s="83"/>
      <c r="K133" s="649" t="e">
        <f t="shared" si="1"/>
        <v>#DIV/0!</v>
      </c>
    </row>
    <row r="134" spans="2:11" s="11" customFormat="1" ht="15" x14ac:dyDescent="0.25">
      <c r="B134" s="81" t="s">
        <v>394</v>
      </c>
      <c r="C134" s="62" t="s">
        <v>1110</v>
      </c>
      <c r="D134" s="62">
        <f>VLOOKUP(B134,'MEMÓRIA DE CÁLCULO'!$B:$H,2,)</f>
        <v>80926</v>
      </c>
      <c r="E134" s="65" t="str">
        <f>VLOOKUP(B134,'MEMÓRIA DE CÁLCULO'!$B:$H,3,)</f>
        <v>REGISTRO DE GAVETA C/CANOPLA DIÂMETRO 3/4"</v>
      </c>
      <c r="F134" s="63" t="s">
        <v>67</v>
      </c>
      <c r="G134" s="73">
        <f>VLOOKUP(B134,'MEMÓRIA DE CÁLCULO'!$B:$H,7,)</f>
        <v>15</v>
      </c>
      <c r="H134" s="68"/>
      <c r="I134" s="68"/>
      <c r="J134" s="83"/>
      <c r="K134" s="649" t="e">
        <f t="shared" si="1"/>
        <v>#DIV/0!</v>
      </c>
    </row>
    <row r="135" spans="2:11" s="11" customFormat="1" ht="15" x14ac:dyDescent="0.25">
      <c r="B135" s="81" t="s">
        <v>396</v>
      </c>
      <c r="C135" s="62" t="s">
        <v>1110</v>
      </c>
      <c r="D135" s="62">
        <f>VLOOKUP(B135,'MEMÓRIA DE CÁLCULO'!$B:$H,2,)</f>
        <v>80946</v>
      </c>
      <c r="E135" s="65" t="str">
        <f>VLOOKUP(B135,'MEMÓRIA DE CÁLCULO'!$B:$H,3,)</f>
        <v>REGISTRO DE PRESSÃO C/CANOPLA CROMADA DIÂM.3/4"</v>
      </c>
      <c r="F135" s="63" t="s">
        <v>67</v>
      </c>
      <c r="G135" s="73">
        <f>VLOOKUP(B135,'MEMÓRIA DE CÁLCULO'!$B:$H,7,)</f>
        <v>4</v>
      </c>
      <c r="H135" s="68"/>
      <c r="I135" s="68"/>
      <c r="J135" s="83"/>
      <c r="K135" s="649" t="e">
        <f t="shared" si="1"/>
        <v>#DIV/0!</v>
      </c>
    </row>
    <row r="136" spans="2:11" s="11" customFormat="1" ht="15" x14ac:dyDescent="0.25">
      <c r="B136" s="81" t="s">
        <v>398</v>
      </c>
      <c r="C136" s="62" t="s">
        <v>1110</v>
      </c>
      <c r="D136" s="62">
        <f>VLOOKUP(B136,'MEMÓRIA DE CÁLCULO'!$B:$H,2,)</f>
        <v>80905</v>
      </c>
      <c r="E136" s="65" t="str">
        <f>VLOOKUP(B136,'MEMÓRIA DE CÁLCULO'!$B:$H,3,)</f>
        <v>REGISTRO DE GAVETA BRUTO DIÂMETRO 1.1/2"</v>
      </c>
      <c r="F136" s="63" t="s">
        <v>67</v>
      </c>
      <c r="G136" s="73">
        <f>VLOOKUP(B136,'MEMÓRIA DE CÁLCULO'!$B:$H,7,)</f>
        <v>2</v>
      </c>
      <c r="H136" s="68"/>
      <c r="I136" s="68"/>
      <c r="J136" s="83"/>
      <c r="K136" s="649" t="e">
        <f t="shared" si="1"/>
        <v>#DIV/0!</v>
      </c>
    </row>
    <row r="137" spans="2:11" s="11" customFormat="1" ht="15" x14ac:dyDescent="0.25">
      <c r="B137" s="81" t="s">
        <v>401</v>
      </c>
      <c r="C137" s="62" t="s">
        <v>1110</v>
      </c>
      <c r="D137" s="62">
        <f>VLOOKUP(B137,'MEMÓRIA DE CÁLCULO'!$B:$H,2,)</f>
        <v>81326</v>
      </c>
      <c r="E137" s="65" t="str">
        <f>VLOOKUP(B137,'MEMÓRIA DE CÁLCULO'!$B:$H,3,)</f>
        <v>JOELHO 90 GRAUS DIÂMETRO 75 MM</v>
      </c>
      <c r="F137" s="63" t="s">
        <v>67</v>
      </c>
      <c r="G137" s="73">
        <f>VLOOKUP(B137,'MEMÓRIA DE CÁLCULO'!$B:$H,7,)</f>
        <v>1</v>
      </c>
      <c r="H137" s="68"/>
      <c r="I137" s="68"/>
      <c r="J137" s="83"/>
      <c r="K137" s="649" t="e">
        <f t="shared" si="1"/>
        <v>#DIV/0!</v>
      </c>
    </row>
    <row r="138" spans="2:11" s="11" customFormat="1" ht="15" x14ac:dyDescent="0.25">
      <c r="B138" s="81" t="s">
        <v>403</v>
      </c>
      <c r="C138" s="62" t="s">
        <v>1110</v>
      </c>
      <c r="D138" s="62">
        <f>VLOOKUP(B138,'MEMÓRIA DE CÁLCULO'!$B:$H,2,)</f>
        <v>81322</v>
      </c>
      <c r="E138" s="65" t="str">
        <f>VLOOKUP(B138,'MEMÓRIA DE CÁLCULO'!$B:$H,3,)</f>
        <v>JOELHO 90 GRAUS DIÂMETRO 32 MM</v>
      </c>
      <c r="F138" s="63" t="s">
        <v>67</v>
      </c>
      <c r="G138" s="73">
        <f>VLOOKUP(B138,'MEMÓRIA DE CÁLCULO'!$B:$H,7,)</f>
        <v>31</v>
      </c>
      <c r="H138" s="68"/>
      <c r="I138" s="68"/>
      <c r="J138" s="83"/>
      <c r="K138" s="649" t="e">
        <f t="shared" si="1"/>
        <v>#DIV/0!</v>
      </c>
    </row>
    <row r="139" spans="2:11" s="11" customFormat="1" ht="14.25" customHeight="1" x14ac:dyDescent="0.25">
      <c r="B139" s="81" t="s">
        <v>405</v>
      </c>
      <c r="C139" s="62" t="s">
        <v>1110</v>
      </c>
      <c r="D139" s="62" t="str">
        <f>VLOOKUP(B139,'MEMÓRIA DE CÁLCULO'!$B:$H,2,)</f>
        <v>COMPOSIÇÃO 17</v>
      </c>
      <c r="E139" s="65" t="str">
        <f>VLOOKUP(B139,'MEMÓRIA DE CÁLCULO'!$B:$H,3,)</f>
        <v>TE REDUÇÃO 90 GRAUS SOLDÁVEL 75 X 50 mm</v>
      </c>
      <c r="F139" s="63" t="s">
        <v>67</v>
      </c>
      <c r="G139" s="73">
        <f>VLOOKUP(B139,'MEMÓRIA DE CÁLCULO'!$B:$H,7,)</f>
        <v>12</v>
      </c>
      <c r="H139" s="68"/>
      <c r="I139" s="68"/>
      <c r="J139" s="83"/>
      <c r="K139" s="649" t="e">
        <f t="shared" si="1"/>
        <v>#DIV/0!</v>
      </c>
    </row>
    <row r="140" spans="2:11" s="11" customFormat="1" ht="15" x14ac:dyDescent="0.25">
      <c r="B140" s="81" t="s">
        <v>408</v>
      </c>
      <c r="C140" s="62" t="s">
        <v>1110</v>
      </c>
      <c r="D140" s="62" t="str">
        <f>VLOOKUP(B140,'MEMÓRIA DE CÁLCULO'!$B:$H,2,)</f>
        <v>COMPOSIÇÃO 12</v>
      </c>
      <c r="E140" s="65" t="str">
        <f>VLOOKUP(B140,'MEMÓRIA DE CÁLCULO'!$B:$H,3,)</f>
        <v>BUCHA REDUÇÃO 90º SOLDÁVEL 50 mm X 32 mm</v>
      </c>
      <c r="F140" s="63" t="s">
        <v>67</v>
      </c>
      <c r="G140" s="73">
        <f>VLOOKUP(B140,'MEMÓRIA DE CÁLCULO'!$B:$H,7,)</f>
        <v>9</v>
      </c>
      <c r="H140" s="68"/>
      <c r="I140" s="68"/>
      <c r="J140" s="83"/>
      <c r="K140" s="649" t="e">
        <f t="shared" ref="K140:K203" si="2">(J140*100%)/$J$310</f>
        <v>#DIV/0!</v>
      </c>
    </row>
    <row r="141" spans="2:11" s="11" customFormat="1" ht="15" x14ac:dyDescent="0.25">
      <c r="B141" s="81" t="s">
        <v>411</v>
      </c>
      <c r="C141" s="62" t="s">
        <v>1110</v>
      </c>
      <c r="D141" s="62">
        <f>VLOOKUP(B141,'MEMÓRIA DE CÁLCULO'!$B:$H,2,)</f>
        <v>81405</v>
      </c>
      <c r="E141" s="65" t="str">
        <f>VLOOKUP(B141,'MEMÓRIA DE CÁLCULO'!$B:$H,3,)</f>
        <v>TE 90 GRAUS SOLDÁVEL DIÂMETRO 50 mm</v>
      </c>
      <c r="F141" s="63" t="s">
        <v>67</v>
      </c>
      <c r="G141" s="73">
        <f>VLOOKUP(B141,'MEMÓRIA DE CÁLCULO'!$B:$H,7,)</f>
        <v>1</v>
      </c>
      <c r="H141" s="68"/>
      <c r="I141" s="68"/>
      <c r="J141" s="83"/>
      <c r="K141" s="649" t="e">
        <f t="shared" si="2"/>
        <v>#DIV/0!</v>
      </c>
    </row>
    <row r="142" spans="2:11" s="11" customFormat="1" ht="15" x14ac:dyDescent="0.25">
      <c r="B142" s="81" t="s">
        <v>413</v>
      </c>
      <c r="C142" s="62" t="s">
        <v>1110</v>
      </c>
      <c r="D142" s="62">
        <f>VLOOKUP(B142,'MEMÓRIA DE CÁLCULO'!$B:$H,2,)</f>
        <v>81321</v>
      </c>
      <c r="E142" s="65" t="str">
        <f>VLOOKUP(B142,'MEMÓRIA DE CÁLCULO'!$B:$H,3,)</f>
        <v>JOELHO 90 GRAUS SOLDÁVEL DIÂMETRO 32 MM</v>
      </c>
      <c r="F142" s="63" t="s">
        <v>67</v>
      </c>
      <c r="G142" s="73">
        <f>VLOOKUP(B142,'MEMÓRIA DE CÁLCULO'!$B:$H,7,)</f>
        <v>33</v>
      </c>
      <c r="H142" s="68"/>
      <c r="I142" s="68"/>
      <c r="J142" s="83"/>
      <c r="K142" s="649" t="e">
        <f t="shared" si="2"/>
        <v>#DIV/0!</v>
      </c>
    </row>
    <row r="143" spans="2:11" s="11" customFormat="1" ht="15" x14ac:dyDescent="0.25">
      <c r="B143" s="81" t="s">
        <v>415</v>
      </c>
      <c r="C143" s="62" t="s">
        <v>1110</v>
      </c>
      <c r="D143" s="62">
        <f>VLOOKUP(B143,'MEMÓRIA DE CÁLCULO'!$B:$H,2,)</f>
        <v>81403</v>
      </c>
      <c r="E143" s="65" t="str">
        <f>VLOOKUP(B143,'MEMÓRIA DE CÁLCULO'!$B:$H,3,)</f>
        <v>TE 90 GRAUS SOLDÁVEL DIÂMETRO 32 mm</v>
      </c>
      <c r="F143" s="63" t="s">
        <v>67</v>
      </c>
      <c r="G143" s="73">
        <f>VLOOKUP(B143,'MEMÓRIA DE CÁLCULO'!$B:$H,7,)</f>
        <v>1</v>
      </c>
      <c r="H143" s="68"/>
      <c r="I143" s="68"/>
      <c r="J143" s="83"/>
      <c r="K143" s="649" t="e">
        <f t="shared" si="2"/>
        <v>#DIV/0!</v>
      </c>
    </row>
    <row r="144" spans="2:11" s="11" customFormat="1" ht="15" x14ac:dyDescent="0.25">
      <c r="B144" s="81" t="s">
        <v>417</v>
      </c>
      <c r="C144" s="62" t="s">
        <v>1110</v>
      </c>
      <c r="D144" s="62">
        <f>VLOOKUP(B144,'MEMÓRIA DE CÁLCULO'!$B:$H,2,)</f>
        <v>81405</v>
      </c>
      <c r="E144" s="65" t="str">
        <f>VLOOKUP(B144,'MEMÓRIA DE CÁLCULO'!$B:$H,3,)</f>
        <v>JOELHO 90 GRAUS SOLDÁVEL DIÂMETRO 50 MM</v>
      </c>
      <c r="F144" s="63" t="s">
        <v>67</v>
      </c>
      <c r="G144" s="73">
        <f>VLOOKUP(B144,'MEMÓRIA DE CÁLCULO'!$B:$H,7,)</f>
        <v>8</v>
      </c>
      <c r="H144" s="68"/>
      <c r="I144" s="68"/>
      <c r="J144" s="83"/>
      <c r="K144" s="649" t="e">
        <f t="shared" si="2"/>
        <v>#DIV/0!</v>
      </c>
    </row>
    <row r="145" spans="2:11" s="11" customFormat="1" ht="15" x14ac:dyDescent="0.25">
      <c r="B145" s="81" t="s">
        <v>419</v>
      </c>
      <c r="C145" s="62" t="s">
        <v>1111</v>
      </c>
      <c r="D145" s="62" t="str">
        <f>VLOOKUP(B145,'MEMÓRIA DE CÁLCULO'!$B:$H,2,)</f>
        <v>SINAPI 89386</v>
      </c>
      <c r="E145" s="65" t="str">
        <f>VLOOKUP(B145,'MEMÓRIA DE CÁLCULO'!$B:$H,3,)</f>
        <v>LUVA PVC SOLDÁVEL 32MM</v>
      </c>
      <c r="F145" s="63" t="s">
        <v>67</v>
      </c>
      <c r="G145" s="73">
        <f>VLOOKUP(B145,'MEMÓRIA DE CÁLCULO'!$B:$H,7,)</f>
        <v>4</v>
      </c>
      <c r="H145" s="68"/>
      <c r="I145" s="68"/>
      <c r="J145" s="83"/>
      <c r="K145" s="649" t="e">
        <f t="shared" si="2"/>
        <v>#DIV/0!</v>
      </c>
    </row>
    <row r="146" spans="2:11" s="11" customFormat="1" ht="15" x14ac:dyDescent="0.25">
      <c r="B146" s="81" t="s">
        <v>422</v>
      </c>
      <c r="C146" s="62" t="s">
        <v>1110</v>
      </c>
      <c r="D146" s="62" t="str">
        <f>VLOOKUP(B146,'MEMÓRIA DE CÁLCULO'!$B:$H,2,)</f>
        <v>COMPOSIÇÃO 9</v>
      </c>
      <c r="E146" s="65" t="str">
        <f>VLOOKUP(B146,'MEMÓRIA DE CÁLCULO'!$B:$H,3,)</f>
        <v>DUCHA HIGIÊNICA</v>
      </c>
      <c r="F146" s="63" t="s">
        <v>67</v>
      </c>
      <c r="G146" s="73">
        <f>VLOOKUP(B146,'MEMÓRIA DE CÁLCULO'!$B:$H,7,)</f>
        <v>2</v>
      </c>
      <c r="H146" s="68"/>
      <c r="I146" s="68"/>
      <c r="J146" s="83"/>
      <c r="K146" s="649" t="e">
        <f t="shared" si="2"/>
        <v>#DIV/0!</v>
      </c>
    </row>
    <row r="147" spans="2:11" s="11" customFormat="1" ht="15" x14ac:dyDescent="0.25">
      <c r="B147" s="81" t="s">
        <v>425</v>
      </c>
      <c r="C147" s="62" t="s">
        <v>1111</v>
      </c>
      <c r="D147" s="62" t="str">
        <f>VLOOKUP(B147,'MEMÓRIA DE CÁLCULO'!$B:$H,2,)</f>
        <v>SINAPI 86904</v>
      </c>
      <c r="E147" s="65" t="str">
        <f>VLOOKUP(B147,'MEMÓRIA DE CÁLCULO'!$B:$H,3,)</f>
        <v>LAVATÓRIO LOUÇA BRANCA SUSPENSO, 29,5 X 39CM OU EQUIVALENTE, PADRÃO POPULAR</v>
      </c>
      <c r="F147" s="63" t="s">
        <v>67</v>
      </c>
      <c r="G147" s="73">
        <f>VLOOKUP(B147,'MEMÓRIA DE CÁLCULO'!$B:$H,7,)</f>
        <v>1</v>
      </c>
      <c r="H147" s="68"/>
      <c r="I147" s="68"/>
      <c r="J147" s="483"/>
      <c r="K147" s="649" t="e">
        <f t="shared" si="2"/>
        <v>#DIV/0!</v>
      </c>
    </row>
    <row r="148" spans="2:11" ht="15" x14ac:dyDescent="0.25">
      <c r="B148" s="855" t="s">
        <v>1124</v>
      </c>
      <c r="C148" s="856"/>
      <c r="D148" s="856"/>
      <c r="E148" s="856"/>
      <c r="F148" s="856"/>
      <c r="G148" s="856"/>
      <c r="H148" s="856"/>
      <c r="I148" s="857"/>
      <c r="J148" s="484">
        <f>SUM(J149:J175)</f>
        <v>0</v>
      </c>
      <c r="K148" s="649" t="e">
        <f t="shared" si="2"/>
        <v>#DIV/0!</v>
      </c>
    </row>
    <row r="149" spans="2:11" ht="15" x14ac:dyDescent="0.25">
      <c r="B149" s="81" t="s">
        <v>428</v>
      </c>
      <c r="C149" s="62" t="s">
        <v>1110</v>
      </c>
      <c r="D149" s="62">
        <f>VLOOKUP(B149,'MEMÓRIA DE CÁLCULO'!$B:$H,2,)</f>
        <v>81256</v>
      </c>
      <c r="E149" s="65" t="str">
        <f>VLOOKUP(B149,'MEMÓRIA DE CÁLCULO'!$B:$H,3,)</f>
        <v>CAP PVC SOLDÁVEL DIÂMETRO 75 mm</v>
      </c>
      <c r="F149" s="63" t="s">
        <v>67</v>
      </c>
      <c r="G149" s="73">
        <f>VLOOKUP(B149,'MEMÓRIA DE CÁLCULO'!$B:$H,7,)</f>
        <v>4</v>
      </c>
      <c r="H149" s="68"/>
      <c r="I149" s="68"/>
      <c r="J149" s="177"/>
      <c r="K149" s="649" t="e">
        <f t="shared" si="2"/>
        <v>#DIV/0!</v>
      </c>
    </row>
    <row r="150" spans="2:11" ht="15" x14ac:dyDescent="0.25">
      <c r="B150" s="81" t="s">
        <v>430</v>
      </c>
      <c r="C150" s="62" t="s">
        <v>1110</v>
      </c>
      <c r="D150" s="62">
        <f>VLOOKUP(B150,'MEMÓRIA DE CÁLCULO'!$B:$H,2,)</f>
        <v>82301</v>
      </c>
      <c r="E150" s="65" t="str">
        <f>VLOOKUP(B150,'MEMÓRIA DE CÁLCULO'!$B:$H,3,)</f>
        <v>TUBO SOLD.P/ESGOTO DIÂM. 40 MM</v>
      </c>
      <c r="F150" s="63" t="s">
        <v>63</v>
      </c>
      <c r="G150" s="73">
        <f>VLOOKUP(B150,'MEMÓRIA DE CÁLCULO'!$B:$H,7,)</f>
        <v>36</v>
      </c>
      <c r="H150" s="68"/>
      <c r="I150" s="68"/>
      <c r="J150" s="83"/>
      <c r="K150" s="649" t="e">
        <f t="shared" si="2"/>
        <v>#DIV/0!</v>
      </c>
    </row>
    <row r="151" spans="2:11" ht="15" x14ac:dyDescent="0.25">
      <c r="B151" s="81" t="s">
        <v>432</v>
      </c>
      <c r="C151" s="62" t="s">
        <v>1110</v>
      </c>
      <c r="D151" s="62">
        <f>VLOOKUP(B151,'MEMÓRIA DE CÁLCULO'!$B:$H,2,)</f>
        <v>82302</v>
      </c>
      <c r="E151" s="65" t="str">
        <f>VLOOKUP(B151,'MEMÓRIA DE CÁLCULO'!$B:$H,3,)</f>
        <v>TUBO SOLD. P/ESGOTO DIÂM. 50 MM</v>
      </c>
      <c r="F151" s="63" t="s">
        <v>63</v>
      </c>
      <c r="G151" s="73">
        <f>VLOOKUP(B151,'MEMÓRIA DE CÁLCULO'!$B:$H,7,)</f>
        <v>42</v>
      </c>
      <c r="H151" s="68"/>
      <c r="I151" s="68"/>
      <c r="J151" s="83"/>
      <c r="K151" s="649" t="e">
        <f t="shared" si="2"/>
        <v>#DIV/0!</v>
      </c>
    </row>
    <row r="152" spans="2:11" ht="15" x14ac:dyDescent="0.25">
      <c r="B152" s="81" t="s">
        <v>434</v>
      </c>
      <c r="C152" s="62" t="s">
        <v>1110</v>
      </c>
      <c r="D152" s="62">
        <f>VLOOKUP(B152,'MEMÓRIA DE CÁLCULO'!$B:$H,2,)</f>
        <v>82304</v>
      </c>
      <c r="E152" s="65" t="str">
        <f>VLOOKUP(B152,'MEMÓRIA DE CÁLCULO'!$B:$H,3,)</f>
        <v>TUBO SOLDÁVEL P/ESGOTO DIÂM. 100 MM</v>
      </c>
      <c r="F152" s="63" t="s">
        <v>63</v>
      </c>
      <c r="G152" s="73">
        <f>VLOOKUP(B152,'MEMÓRIA DE CÁLCULO'!$B:$H,7,)</f>
        <v>118</v>
      </c>
      <c r="H152" s="68"/>
      <c r="I152" s="68"/>
      <c r="J152" s="83"/>
      <c r="K152" s="649" t="e">
        <f t="shared" si="2"/>
        <v>#DIV/0!</v>
      </c>
    </row>
    <row r="153" spans="2:11" ht="15" x14ac:dyDescent="0.25">
      <c r="B153" s="81" t="s">
        <v>436</v>
      </c>
      <c r="C153" s="62" t="s">
        <v>1110</v>
      </c>
      <c r="D153" s="62">
        <f>VLOOKUP(B153,'MEMÓRIA DE CÁLCULO'!$B:$H,2,)</f>
        <v>81825</v>
      </c>
      <c r="E153" s="65" t="str">
        <f>VLOOKUP(B153,'MEMÓRIA DE CÁLCULO'!$B:$H,3,)</f>
        <v>CAIXA DE PASSAGEM 60 X 60 CM SEM TAMPA</v>
      </c>
      <c r="F153" s="63" t="s">
        <v>67</v>
      </c>
      <c r="G153" s="73">
        <f>VLOOKUP(B153,'MEMÓRIA DE CÁLCULO'!$B:$H,7,)</f>
        <v>12</v>
      </c>
      <c r="H153" s="68"/>
      <c r="I153" s="68"/>
      <c r="J153" s="83"/>
      <c r="K153" s="649" t="e">
        <f t="shared" si="2"/>
        <v>#DIV/0!</v>
      </c>
    </row>
    <row r="154" spans="2:11" ht="15" x14ac:dyDescent="0.25">
      <c r="B154" s="81" t="s">
        <v>438</v>
      </c>
      <c r="C154" s="62" t="s">
        <v>1110</v>
      </c>
      <c r="D154" s="62">
        <f>VLOOKUP(B154,'MEMÓRIA DE CÁLCULO'!$B:$H,2,)</f>
        <v>81826</v>
      </c>
      <c r="E154" s="65" t="str">
        <f>VLOOKUP(B154,'MEMÓRIA DE CÁLCULO'!$B:$H,3,)</f>
        <v>TAMPA EM CONCRETO ARMADO 25 MPA E=5CM PARA A CAIXA DE PASSAGEM 60X60CM</v>
      </c>
      <c r="F154" s="63" t="s">
        <v>67</v>
      </c>
      <c r="G154" s="73">
        <f>VLOOKUP(B154,'MEMÓRIA DE CÁLCULO'!$B:$H,7,)</f>
        <v>12</v>
      </c>
      <c r="H154" s="68"/>
      <c r="I154" s="68"/>
      <c r="J154" s="83"/>
      <c r="K154" s="649" t="e">
        <f t="shared" si="2"/>
        <v>#DIV/0!</v>
      </c>
    </row>
    <row r="155" spans="2:11" ht="15" x14ac:dyDescent="0.25">
      <c r="B155" s="81" t="s">
        <v>440</v>
      </c>
      <c r="C155" s="62" t="s">
        <v>1110</v>
      </c>
      <c r="D155" s="62">
        <f>VLOOKUP(B155,'MEMÓRIA DE CÁLCULO'!$B:$H,2,)</f>
        <v>81846</v>
      </c>
      <c r="E155" s="65" t="str">
        <f>VLOOKUP(B155,'MEMÓRIA DE CÁLCULO'!$B:$H,3,)</f>
        <v>CAIXA DE GORDURA E INSPEÇÃO EM PVC/ABS 19 LITROS COM TAMPA E PORTA TAMPA E CESTO DE LIMPEZA REMOVÍVEL</v>
      </c>
      <c r="F155" s="63" t="s">
        <v>67</v>
      </c>
      <c r="G155" s="73">
        <f>VLOOKUP(B155,'MEMÓRIA DE CÁLCULO'!$B:$H,7,)</f>
        <v>5</v>
      </c>
      <c r="H155" s="68"/>
      <c r="I155" s="68"/>
      <c r="J155" s="83"/>
      <c r="K155" s="649" t="e">
        <f t="shared" si="2"/>
        <v>#DIV/0!</v>
      </c>
    </row>
    <row r="156" spans="2:11" ht="15" x14ac:dyDescent="0.25">
      <c r="B156" s="147" t="s">
        <v>442</v>
      </c>
      <c r="C156" s="148" t="s">
        <v>1110</v>
      </c>
      <c r="D156" s="62">
        <f>VLOOKUP(B156,'MEMÓRIA DE CÁLCULO'!$B:$H,2,)</f>
        <v>81935</v>
      </c>
      <c r="E156" s="65" t="str">
        <f>VLOOKUP(B156,'MEMÓRIA DE CÁLCULO'!$B:$H,3,)</f>
        <v>JOELHO 90 GRAUS DIÂMETRO 40 MM</v>
      </c>
      <c r="F156" s="150" t="s">
        <v>67</v>
      </c>
      <c r="G156" s="73">
        <f>VLOOKUP(B156,'MEMÓRIA DE CÁLCULO'!$B:$H,7,)</f>
        <v>32</v>
      </c>
      <c r="H156" s="68"/>
      <c r="I156" s="68"/>
      <c r="J156" s="83"/>
      <c r="K156" s="649" t="e">
        <f t="shared" si="2"/>
        <v>#DIV/0!</v>
      </c>
    </row>
    <row r="157" spans="2:11" ht="15" x14ac:dyDescent="0.25">
      <c r="B157" s="81" t="s">
        <v>444</v>
      </c>
      <c r="C157" s="62" t="s">
        <v>1110</v>
      </c>
      <c r="D157" s="62">
        <f>VLOOKUP(B157,'MEMÓRIA DE CÁLCULO'!$B:$H,2,)</f>
        <v>82201</v>
      </c>
      <c r="E157" s="65" t="str">
        <f>VLOOKUP(B157,'MEMÓRIA DE CÁLCULO'!$B:$H,3,)</f>
        <v>TE 90 GRAUS DIÂMETRO 40 MM - ESGOTO</v>
      </c>
      <c r="F157" s="238" t="s">
        <v>67</v>
      </c>
      <c r="G157" s="73">
        <f>VLOOKUP(B157,'MEMÓRIA DE CÁLCULO'!$B:$H,7,)</f>
        <v>5</v>
      </c>
      <c r="H157" s="68"/>
      <c r="I157" s="68"/>
      <c r="J157" s="83"/>
      <c r="K157" s="649" t="e">
        <f t="shared" si="2"/>
        <v>#DIV/0!</v>
      </c>
    </row>
    <row r="158" spans="2:11" ht="15" x14ac:dyDescent="0.25">
      <c r="B158" s="81" t="s">
        <v>446</v>
      </c>
      <c r="C158" s="62" t="s">
        <v>1110</v>
      </c>
      <c r="D158" s="62">
        <f>VLOOKUP(B158,'MEMÓRIA DE CÁLCULO'!$B:$H,2,)</f>
        <v>81661</v>
      </c>
      <c r="E158" s="65" t="str">
        <f>VLOOKUP(B158,'MEMÓRIA DE CÁLCULO'!$B:$H,3,)</f>
        <v>CORPO CX. SIFONADA DIÂM. 100 X 100 X 50</v>
      </c>
      <c r="F158" s="238" t="s">
        <v>67</v>
      </c>
      <c r="G158" s="73">
        <f>VLOOKUP(B158,'MEMÓRIA DE CÁLCULO'!$B:$H,7,)</f>
        <v>18</v>
      </c>
      <c r="H158" s="68"/>
      <c r="I158" s="68"/>
      <c r="J158" s="83"/>
      <c r="K158" s="649" t="e">
        <f t="shared" si="2"/>
        <v>#DIV/0!</v>
      </c>
    </row>
    <row r="159" spans="2:11" ht="15" x14ac:dyDescent="0.25">
      <c r="B159" s="81" t="s">
        <v>448</v>
      </c>
      <c r="C159" s="62" t="s">
        <v>1110</v>
      </c>
      <c r="D159" s="62">
        <f>VLOOKUP(B159,'MEMÓRIA DE CÁLCULO'!$B:$H,2,)</f>
        <v>82103</v>
      </c>
      <c r="E159" s="65" t="str">
        <f>VLOOKUP(B159,'MEMÓRIA DE CÁLCULO'!$B:$H,3,)</f>
        <v>REDUÇÃO EXCÊNTRICA 100 X 50 MM</v>
      </c>
      <c r="F159" s="238" t="s">
        <v>67</v>
      </c>
      <c r="G159" s="73">
        <f>VLOOKUP(B159,'MEMÓRIA DE CÁLCULO'!$B:$H,7,)</f>
        <v>4</v>
      </c>
      <c r="H159" s="68"/>
      <c r="I159" s="68"/>
      <c r="J159" s="83"/>
      <c r="K159" s="649" t="e">
        <f t="shared" si="2"/>
        <v>#DIV/0!</v>
      </c>
    </row>
    <row r="160" spans="2:11" ht="15" x14ac:dyDescent="0.25">
      <c r="B160" s="147" t="s">
        <v>450</v>
      </c>
      <c r="C160" s="62" t="s">
        <v>1110</v>
      </c>
      <c r="D160" s="62">
        <f>VLOOKUP(B160,'MEMÓRIA DE CÁLCULO'!$B:$H,2,)</f>
        <v>81602</v>
      </c>
      <c r="E160" s="65" t="str">
        <f>VLOOKUP(B160,'MEMÓRIA DE CÁLCULO'!$B:$H,3,)</f>
        <v>BUCHA DE REDUÇÃO LONGA DIÂM. 50 X 40 MM</v>
      </c>
      <c r="F160" s="63" t="s">
        <v>67</v>
      </c>
      <c r="G160" s="73">
        <f>VLOOKUP(B160,'MEMÓRIA DE CÁLCULO'!$B:$H,7,)</f>
        <v>1</v>
      </c>
      <c r="H160" s="68"/>
      <c r="I160" s="68"/>
      <c r="J160" s="83"/>
      <c r="K160" s="649" t="e">
        <f t="shared" si="2"/>
        <v>#DIV/0!</v>
      </c>
    </row>
    <row r="161" spans="2:11" ht="15" x14ac:dyDescent="0.25">
      <c r="B161" s="81" t="s">
        <v>452</v>
      </c>
      <c r="C161" s="62" t="s">
        <v>1110</v>
      </c>
      <c r="D161" s="62">
        <f>VLOOKUP(B161,'MEMÓRIA DE CÁLCULO'!$B:$H,2,)</f>
        <v>81701</v>
      </c>
      <c r="E161" s="65" t="str">
        <f>VLOOKUP(B161,'MEMÓRIA DE CÁLCULO'!$B:$H,3,)</f>
        <v>CURVA 45 GRAUS DIÂMETRO 40 MM</v>
      </c>
      <c r="F161" s="63" t="s">
        <v>67</v>
      </c>
      <c r="G161" s="73">
        <f>VLOOKUP(B161,'MEMÓRIA DE CÁLCULO'!$B:$H,7,)</f>
        <v>14</v>
      </c>
      <c r="H161" s="68"/>
      <c r="I161" s="68"/>
      <c r="J161" s="83"/>
      <c r="K161" s="649" t="e">
        <f t="shared" si="2"/>
        <v>#DIV/0!</v>
      </c>
    </row>
    <row r="162" spans="2:11" ht="15" x14ac:dyDescent="0.25">
      <c r="B162" s="81" t="s">
        <v>454</v>
      </c>
      <c r="C162" s="62" t="s">
        <v>1110</v>
      </c>
      <c r="D162" s="62">
        <f>VLOOKUP(B162,'MEMÓRIA DE CÁLCULO'!$B:$H,2,)</f>
        <v>81702</v>
      </c>
      <c r="E162" s="65" t="str">
        <f>VLOOKUP(B162,'MEMÓRIA DE CÁLCULO'!$B:$H,3,)</f>
        <v>CURVA 45 GRAUS DIÂMETRO 100 MM</v>
      </c>
      <c r="F162" s="63" t="s">
        <v>67</v>
      </c>
      <c r="G162" s="73">
        <f>VLOOKUP(B162,'MEMÓRIA DE CÁLCULO'!$B:$H,7,)</f>
        <v>11</v>
      </c>
      <c r="H162" s="68"/>
      <c r="I162" s="68"/>
      <c r="J162" s="83"/>
      <c r="K162" s="649" t="e">
        <f t="shared" si="2"/>
        <v>#DIV/0!</v>
      </c>
    </row>
    <row r="163" spans="2:11" ht="15" x14ac:dyDescent="0.25">
      <c r="B163" s="81" t="s">
        <v>456</v>
      </c>
      <c r="C163" s="62" t="s">
        <v>1110</v>
      </c>
      <c r="D163" s="62">
        <f>VLOOKUP(B163,'MEMÓRIA DE CÁLCULO'!$B:$H,2,)</f>
        <v>81922</v>
      </c>
      <c r="E163" s="65" t="str">
        <f>VLOOKUP(B163,'MEMÓRIA DE CÁLCULO'!$B:$H,3,)</f>
        <v>JOELHO 45 GRAUS DIÂMETRO 50 MM</v>
      </c>
      <c r="F163" s="63" t="s">
        <v>67</v>
      </c>
      <c r="G163" s="73">
        <f>VLOOKUP(B163,'MEMÓRIA DE CÁLCULO'!$B:$H,7,)</f>
        <v>20</v>
      </c>
      <c r="H163" s="68"/>
      <c r="I163" s="68"/>
      <c r="J163" s="83"/>
      <c r="K163" s="649" t="e">
        <f t="shared" si="2"/>
        <v>#DIV/0!</v>
      </c>
    </row>
    <row r="164" spans="2:11" ht="15" x14ac:dyDescent="0.25">
      <c r="B164" s="147" t="s">
        <v>458</v>
      </c>
      <c r="C164" s="62" t="s">
        <v>1110</v>
      </c>
      <c r="D164" s="62">
        <f>VLOOKUP(B164,'MEMÓRIA DE CÁLCULO'!$B:$H,2,)</f>
        <v>81938</v>
      </c>
      <c r="E164" s="65" t="str">
        <f>VLOOKUP(B164,'MEMÓRIA DE CÁLCULO'!$B:$H,3,)</f>
        <v>JOELHO 90 GRAUS DIÂMETRO 100 MM</v>
      </c>
      <c r="F164" s="63" t="s">
        <v>67</v>
      </c>
      <c r="G164" s="73">
        <f>VLOOKUP(B164,'MEMÓRIA DE CÁLCULO'!$B:$H,7,)</f>
        <v>2</v>
      </c>
      <c r="H164" s="68"/>
      <c r="I164" s="68"/>
      <c r="J164" s="83"/>
      <c r="K164" s="649" t="e">
        <f t="shared" si="2"/>
        <v>#DIV/0!</v>
      </c>
    </row>
    <row r="165" spans="2:11" ht="15" x14ac:dyDescent="0.25">
      <c r="B165" s="81" t="s">
        <v>460</v>
      </c>
      <c r="C165" s="62" t="s">
        <v>1110</v>
      </c>
      <c r="D165" s="62">
        <f>VLOOKUP(B165,'MEMÓRIA DE CÁLCULO'!$B:$H,2,)</f>
        <v>81973</v>
      </c>
      <c r="E165" s="65" t="str">
        <f>VLOOKUP(B165,'MEMÓRIA DE CÁLCULO'!$B:$H,3,)</f>
        <v>JUNÇÃO SIMPLES DIÂM. 100 X 50 MM</v>
      </c>
      <c r="F165" s="63" t="s">
        <v>67</v>
      </c>
      <c r="G165" s="73">
        <f>VLOOKUP(B165,'MEMÓRIA DE CÁLCULO'!$B:$H,7,)</f>
        <v>10</v>
      </c>
      <c r="H165" s="68"/>
      <c r="I165" s="68"/>
      <c r="J165" s="83"/>
      <c r="K165" s="649" t="e">
        <f t="shared" si="2"/>
        <v>#DIV/0!</v>
      </c>
    </row>
    <row r="166" spans="2:11" ht="15" x14ac:dyDescent="0.25">
      <c r="B166" s="81" t="s">
        <v>462</v>
      </c>
      <c r="C166" s="62" t="s">
        <v>1110</v>
      </c>
      <c r="D166" s="62">
        <f>VLOOKUP(B166,'MEMÓRIA DE CÁLCULO'!$B:$H,2,)</f>
        <v>81975</v>
      </c>
      <c r="E166" s="65" t="str">
        <f>VLOOKUP(B166,'MEMÓRIA DE CÁLCULO'!$B:$H,3,)</f>
        <v>JUNÇÃO SIMPLES DIÂM. 100 X 100 MM</v>
      </c>
      <c r="F166" s="63" t="s">
        <v>67</v>
      </c>
      <c r="G166" s="73">
        <f>VLOOKUP(B166,'MEMÓRIA DE CÁLCULO'!$B:$H,7,)</f>
        <v>4</v>
      </c>
      <c r="H166" s="68"/>
      <c r="I166" s="68"/>
      <c r="J166" s="83"/>
      <c r="K166" s="649" t="e">
        <f t="shared" si="2"/>
        <v>#DIV/0!</v>
      </c>
    </row>
    <row r="167" spans="2:11" ht="15" x14ac:dyDescent="0.25">
      <c r="B167" s="81" t="s">
        <v>464</v>
      </c>
      <c r="C167" s="62" t="s">
        <v>1110</v>
      </c>
      <c r="D167" s="62">
        <f>VLOOKUP(B167,'MEMÓRIA DE CÁLCULO'!$B:$H,2,)</f>
        <v>81936</v>
      </c>
      <c r="E167" s="65" t="str">
        <f>VLOOKUP(B167,'MEMÓRIA DE CÁLCULO'!$B:$H,3,)</f>
        <v>JOELHO 90 GRAUS DIÂMETRO 50 MM</v>
      </c>
      <c r="F167" s="63" t="s">
        <v>67</v>
      </c>
      <c r="G167" s="73">
        <f>VLOOKUP(B167,'MEMÓRIA DE CÁLCULO'!$B:$H,7,)</f>
        <v>2</v>
      </c>
      <c r="H167" s="68"/>
      <c r="I167" s="68"/>
      <c r="J167" s="83"/>
      <c r="K167" s="649" t="e">
        <f t="shared" si="2"/>
        <v>#DIV/0!</v>
      </c>
    </row>
    <row r="168" spans="2:11" ht="15" x14ac:dyDescent="0.25">
      <c r="B168" s="147" t="s">
        <v>466</v>
      </c>
      <c r="C168" s="62" t="s">
        <v>1110</v>
      </c>
      <c r="D168" s="62">
        <f>VLOOKUP(B168,'MEMÓRIA DE CÁLCULO'!$B:$H,2,)</f>
        <v>82233</v>
      </c>
      <c r="E168" s="65" t="str">
        <f>VLOOKUP(B168,'MEMÓRIA DE CÁLCULO'!$B:$H,3,)</f>
        <v>TE SANITÁRIO DIÂMETRO 100 X 50 MM</v>
      </c>
      <c r="F168" s="63" t="s">
        <v>67</v>
      </c>
      <c r="G168" s="73">
        <f>VLOOKUP(B168,'MEMÓRIA DE CÁLCULO'!$B:$H,7,)</f>
        <v>1</v>
      </c>
      <c r="H168" s="68"/>
      <c r="I168" s="68"/>
      <c r="J168" s="83"/>
      <c r="K168" s="649" t="e">
        <f t="shared" si="2"/>
        <v>#DIV/0!</v>
      </c>
    </row>
    <row r="169" spans="2:11" ht="15" x14ac:dyDescent="0.25">
      <c r="B169" s="81" t="s">
        <v>468</v>
      </c>
      <c r="C169" s="62" t="s">
        <v>1110</v>
      </c>
      <c r="D169" s="62" t="str">
        <f>VLOOKUP(B169,'MEMÓRIA DE CÁLCULO'!$B:$H,2,)</f>
        <v>COMPOSIÇÃO 8</v>
      </c>
      <c r="E169" s="65" t="str">
        <f>VLOOKUP(B169,'MEMÓRIA DE CÁLCULO'!$B:$H,3,)</f>
        <v>VASO SANITÁRIO INFANTIL COM CAIXA ACOPLADA</v>
      </c>
      <c r="F169" s="63" t="s">
        <v>67</v>
      </c>
      <c r="G169" s="73">
        <f>VLOOKUP(B169,'MEMÓRIA DE CÁLCULO'!$B:$H,7,)</f>
        <v>4</v>
      </c>
      <c r="H169" s="68"/>
      <c r="I169" s="68"/>
      <c r="J169" s="83"/>
      <c r="K169" s="649" t="e">
        <f t="shared" si="2"/>
        <v>#DIV/0!</v>
      </c>
    </row>
    <row r="170" spans="2:11" ht="15" x14ac:dyDescent="0.25">
      <c r="B170" s="81" t="s">
        <v>471</v>
      </c>
      <c r="C170" s="62" t="s">
        <v>1125</v>
      </c>
      <c r="D170" s="62" t="str">
        <f>VLOOKUP(B170,'MEMÓRIA DE CÁLCULO'!$B:$H,2,)</f>
        <v>PARANÁ 95471</v>
      </c>
      <c r="E170" s="65" t="str">
        <f>VLOOKUP(B170,'MEMÓRIA DE CÁLCULO'!$B:$H,3,)</f>
        <v>BACIA SANITÁRIA PARA CADEIRANTES C/ ASSENTO (ABERTURA FRONTAL)</v>
      </c>
      <c r="F170" s="63" t="s">
        <v>67</v>
      </c>
      <c r="G170" s="73">
        <f>VLOOKUP(B170,'MEMÓRIA DE CÁLCULO'!$B:$H,7,)</f>
        <v>1</v>
      </c>
      <c r="H170" s="68"/>
      <c r="I170" s="68"/>
      <c r="J170" s="83"/>
      <c r="K170" s="649" t="e">
        <f t="shared" si="2"/>
        <v>#DIV/0!</v>
      </c>
    </row>
    <row r="171" spans="2:11" ht="15" x14ac:dyDescent="0.25">
      <c r="B171" s="81" t="s">
        <v>474</v>
      </c>
      <c r="C171" s="62" t="s">
        <v>1110</v>
      </c>
      <c r="D171" s="62" t="str">
        <f>VLOOKUP(B171,'MEMÓRIA DE CÁLCULO'!$B:$H,2,)</f>
        <v>COMPOSIÇÃO 11</v>
      </c>
      <c r="E171" s="65" t="str">
        <f>VLOOKUP(B171,'MEMÓRIA DE CÁLCULO'!$B:$H,3,)</f>
        <v>CAIXA COM GRELHA RETANGULAR DE FERRO FUNDIDO, DIMENSÕES INTERNAS: 0,15 X 1,00 X 0,3 M, INCLUSO CANALETA</v>
      </c>
      <c r="F171" s="63" t="s">
        <v>67</v>
      </c>
      <c r="G171" s="73">
        <f>VLOOKUP(B171,'MEMÓRIA DE CÁLCULO'!$B:$H,7,)</f>
        <v>30</v>
      </c>
      <c r="H171" s="68"/>
      <c r="I171" s="68"/>
      <c r="J171" s="83"/>
      <c r="K171" s="649" t="e">
        <f t="shared" si="2"/>
        <v>#DIV/0!</v>
      </c>
    </row>
    <row r="172" spans="2:11" ht="15" x14ac:dyDescent="0.25">
      <c r="B172" s="81" t="s">
        <v>477</v>
      </c>
      <c r="C172" s="62" t="s">
        <v>1110</v>
      </c>
      <c r="D172" s="62">
        <f>VLOOKUP(B172,'MEMÓRIA DE CÁLCULO'!$B:$H,2,)</f>
        <v>81829</v>
      </c>
      <c r="E172" s="65" t="str">
        <f>VLOOKUP(B172,'MEMÓRIA DE CÁLCULO'!$B:$H,3,)</f>
        <v>CAIXA DE INSPEÇÃO - TAMPA EM CONCRETO ARMADO 25 MPA E=5CM</v>
      </c>
      <c r="F172" s="63" t="s">
        <v>17</v>
      </c>
      <c r="G172" s="73">
        <f>VLOOKUP(B172,'MEMÓRIA DE CÁLCULO'!$B:$H,7,)</f>
        <v>12.457949999999999</v>
      </c>
      <c r="H172" s="68"/>
      <c r="I172" s="68"/>
      <c r="J172" s="83"/>
      <c r="K172" s="649" t="e">
        <f t="shared" si="2"/>
        <v>#DIV/0!</v>
      </c>
    </row>
    <row r="173" spans="2:11" ht="42.75" x14ac:dyDescent="0.25">
      <c r="B173" s="81" t="s">
        <v>482</v>
      </c>
      <c r="C173" s="62" t="s">
        <v>1111</v>
      </c>
      <c r="D173" s="62" t="str">
        <f>VLOOKUP(B173,'MEMÓRIA DE CÁLCULO'!$B:$H,2,)</f>
        <v>SINAPI 92105</v>
      </c>
      <c r="E173" s="65" t="str">
        <f>VLOOKUP(B173,'MEMÓRIA DE CÁLCULO'!$B:$H,3,)</f>
        <v>CAMINHÃO PARA EQUIPAMENTO DE LIMPEZA A SUCÇÃO COM CAMINHÃO TRUCADO DE PESO H BRUTO TOTAL 23000 KG, CARGA ÚTIL MÁX. 15935 KG, DISTÂNCIA ENTRE EIXOS 4,80 M, POTÊNCIA 230 CV, INCLUSIVE LIMPADORA A SUCÇÃO, TANQUE 12000 L - MATERIAIS NA OPERAÇÃO</v>
      </c>
      <c r="F173" s="63" t="s">
        <v>63</v>
      </c>
      <c r="G173" s="73">
        <f>VLOOKUP(B173,'MEMÓRIA DE CÁLCULO'!$B:$H,7,)</f>
        <v>9</v>
      </c>
      <c r="H173" s="68"/>
      <c r="I173" s="68"/>
      <c r="J173" s="177"/>
      <c r="K173" s="649" t="e">
        <f t="shared" si="2"/>
        <v>#DIV/0!</v>
      </c>
    </row>
    <row r="174" spans="2:11" s="6" customFormat="1" ht="15" x14ac:dyDescent="0.25">
      <c r="B174" s="81" t="s">
        <v>488</v>
      </c>
      <c r="C174" s="62" t="s">
        <v>1111</v>
      </c>
      <c r="D174" s="62" t="str">
        <f>VLOOKUP(B174,'MEMÓRIA DE CÁLCULO'!$B:$H,2,)</f>
        <v xml:space="preserve">SINAPI 86888 </v>
      </c>
      <c r="E174" s="65" t="str">
        <f>VLOOKUP(B174,'MEMÓRIA DE CÁLCULO'!$B:$H,3,)</f>
        <v>VASO SANITÁRIO SIFONADO COM CAIXA ACOPLADA LOUÇA BRANCA</v>
      </c>
      <c r="F174" s="63" t="s">
        <v>67</v>
      </c>
      <c r="G174" s="73">
        <f>VLOOKUP(B174,'MEMÓRIA DE CÁLCULO'!$B:$H,7,)</f>
        <v>2</v>
      </c>
      <c r="H174" s="68"/>
      <c r="I174" s="68"/>
      <c r="J174" s="83"/>
      <c r="K174" s="649" t="e">
        <f t="shared" si="2"/>
        <v>#DIV/0!</v>
      </c>
    </row>
    <row r="175" spans="2:11" s="6" customFormat="1" ht="15" x14ac:dyDescent="0.25">
      <c r="B175" s="81" t="s">
        <v>491</v>
      </c>
      <c r="C175" s="62" t="s">
        <v>1110</v>
      </c>
      <c r="D175" s="62">
        <f>VLOOKUP(B175,'MEMÓRIA DE CÁLCULO'!$B:$H,2,)</f>
        <v>82304</v>
      </c>
      <c r="E175" s="65" t="str">
        <f>VLOOKUP(B175,'MEMÓRIA DE CÁLCULO'!$B:$H,3,)</f>
        <v>TUBO SOLDÁVEL P/ESGOTO DIÂM. 100 MM</v>
      </c>
      <c r="F175" s="63" t="s">
        <v>67</v>
      </c>
      <c r="G175" s="73">
        <f>VLOOKUP(B175,'MEMÓRIA DE CÁLCULO'!$B:$H,7,)</f>
        <v>137</v>
      </c>
      <c r="H175" s="68"/>
      <c r="I175" s="68"/>
      <c r="J175" s="483"/>
      <c r="K175" s="649" t="e">
        <f t="shared" si="2"/>
        <v>#DIV/0!</v>
      </c>
    </row>
    <row r="176" spans="2:11" ht="15" x14ac:dyDescent="0.25">
      <c r="B176" s="855" t="s">
        <v>492</v>
      </c>
      <c r="C176" s="856"/>
      <c r="D176" s="856"/>
      <c r="E176" s="856"/>
      <c r="F176" s="856"/>
      <c r="G176" s="856"/>
      <c r="H176" s="856"/>
      <c r="I176" s="857"/>
      <c r="J176" s="484">
        <f>SUM(J177:J187)</f>
        <v>0</v>
      </c>
      <c r="K176" s="649" t="e">
        <f t="shared" si="2"/>
        <v>#DIV/0!</v>
      </c>
    </row>
    <row r="177" spans="2:11" s="6" customFormat="1" ht="15" x14ac:dyDescent="0.25">
      <c r="B177" s="147" t="s">
        <v>493</v>
      </c>
      <c r="C177" s="62" t="s">
        <v>1110</v>
      </c>
      <c r="D177" s="62" t="str">
        <f>VLOOKUP(B177,'MEMÓRIA DE CÁLCULO'!$B:$H,2,)</f>
        <v>COMPOSIÇÃO 1</v>
      </c>
      <c r="E177" s="65" t="str">
        <f>VLOOKUP(B177,'MEMÓRIA DE CÁLCULO'!$B:$H,3,)</f>
        <v>RALO ABACAXI 100 MM 4''</v>
      </c>
      <c r="F177" s="63" t="s">
        <v>67</v>
      </c>
      <c r="G177" s="73">
        <f>VLOOKUP(B177,'MEMÓRIA DE CÁLCULO'!$B:$H,7,)</f>
        <v>6</v>
      </c>
      <c r="H177" s="68"/>
      <c r="I177" s="68"/>
      <c r="J177" s="177"/>
      <c r="K177" s="649" t="e">
        <f t="shared" si="2"/>
        <v>#DIV/0!</v>
      </c>
    </row>
    <row r="178" spans="2:11" s="6" customFormat="1" ht="15" x14ac:dyDescent="0.25">
      <c r="B178" s="81" t="s">
        <v>497</v>
      </c>
      <c r="C178" s="62" t="s">
        <v>1110</v>
      </c>
      <c r="D178" s="62">
        <f>VLOOKUP(B178,'MEMÓRIA DE CÁLCULO'!$B:$H,2,)</f>
        <v>81938</v>
      </c>
      <c r="E178" s="65" t="str">
        <f>VLOOKUP(B178,'MEMÓRIA DE CÁLCULO'!$B:$H,3,)</f>
        <v>JOELHO 90 GRAUS DIÂMETRO 100 MM</v>
      </c>
      <c r="F178" s="63" t="s">
        <v>67</v>
      </c>
      <c r="G178" s="73">
        <f>VLOOKUP(B178,'MEMÓRIA DE CÁLCULO'!$B:$H,7,)</f>
        <v>13</v>
      </c>
      <c r="H178" s="68"/>
      <c r="I178" s="68"/>
      <c r="J178" s="83"/>
      <c r="K178" s="649" t="e">
        <f t="shared" si="2"/>
        <v>#DIV/0!</v>
      </c>
    </row>
    <row r="179" spans="2:11" s="6" customFormat="1" ht="15" x14ac:dyDescent="0.25">
      <c r="B179" s="219" t="s">
        <v>498</v>
      </c>
      <c r="C179" s="233" t="s">
        <v>1110</v>
      </c>
      <c r="D179" s="233">
        <f>VLOOKUP(B179,'MEMÓRIA DE CÁLCULO'!$B:$H,2,)</f>
        <v>82235</v>
      </c>
      <c r="E179" s="221" t="str">
        <f>VLOOKUP(B179,'MEMÓRIA DE CÁLCULO'!$B:$H,3,)</f>
        <v>TE SANITÁRIO DIÂMETRO 100 X 100 MM</v>
      </c>
      <c r="F179" s="234" t="s">
        <v>67</v>
      </c>
      <c r="G179" s="235">
        <f>VLOOKUP(B179,'MEMÓRIA DE CÁLCULO'!$B:$H,7,)</f>
        <v>5</v>
      </c>
      <c r="H179" s="236"/>
      <c r="I179" s="236"/>
      <c r="J179" s="237"/>
      <c r="K179" s="649" t="e">
        <f t="shared" si="2"/>
        <v>#DIV/0!</v>
      </c>
    </row>
    <row r="180" spans="2:11" s="6" customFormat="1" ht="15" x14ac:dyDescent="0.25">
      <c r="B180" s="220" t="s">
        <v>500</v>
      </c>
      <c r="C180" s="233" t="s">
        <v>1110</v>
      </c>
      <c r="D180" s="233">
        <f>VLOOKUP(B180,'MEMÓRIA DE CÁLCULO'!$B:$H,2,)</f>
        <v>82004</v>
      </c>
      <c r="E180" s="221" t="str">
        <f>VLOOKUP(B180,'MEMÓRIA DE CÁLCULO'!$B:$H,3,)</f>
        <v>LUVA SIMPLES DIÂM. 100 MM</v>
      </c>
      <c r="F180" s="234" t="s">
        <v>67</v>
      </c>
      <c r="G180" s="235">
        <f>VLOOKUP(B180,'MEMÓRIA DE CÁLCULO'!$B:$H,7,)</f>
        <v>16</v>
      </c>
      <c r="H180" s="236"/>
      <c r="I180" s="236"/>
      <c r="J180" s="237"/>
      <c r="K180" s="649" t="e">
        <f t="shared" si="2"/>
        <v>#DIV/0!</v>
      </c>
    </row>
    <row r="181" spans="2:11" s="6" customFormat="1" ht="15" x14ac:dyDescent="0.25">
      <c r="B181" s="219" t="s">
        <v>502</v>
      </c>
      <c r="C181" s="233" t="s">
        <v>1110</v>
      </c>
      <c r="D181" s="233" t="str">
        <f>VLOOKUP(B181,'MEMÓRIA DE CÁLCULO'!$B:$H,2,)</f>
        <v>COMPOSIÇÃO 13</v>
      </c>
      <c r="E181" s="221" t="str">
        <f>VLOOKUP(B181,'MEMÓRIA DE CÁLCULO'!$B:$H,3,)</f>
        <v>RALO ABACAXI 200 MM 8''</v>
      </c>
      <c r="F181" s="234" t="s">
        <v>67</v>
      </c>
      <c r="G181" s="235">
        <f>VLOOKUP(B181,'MEMÓRIA DE CÁLCULO'!$B:$H,7,)</f>
        <v>6</v>
      </c>
      <c r="H181" s="236"/>
      <c r="I181" s="236"/>
      <c r="J181" s="237"/>
      <c r="K181" s="649" t="e">
        <f t="shared" si="2"/>
        <v>#DIV/0!</v>
      </c>
    </row>
    <row r="182" spans="2:11" s="6" customFormat="1" ht="15" x14ac:dyDescent="0.25">
      <c r="B182" s="220" t="s">
        <v>505</v>
      </c>
      <c r="C182" s="233" t="s">
        <v>1110</v>
      </c>
      <c r="D182" s="233" t="str">
        <f>VLOOKUP(B182,'MEMÓRIA DE CÁLCULO'!$B:$H,2,)</f>
        <v>COMPOSIÇÃO 14</v>
      </c>
      <c r="E182" s="221" t="str">
        <f>VLOOKUP(B182,'MEMÓRIA DE CÁLCULO'!$B:$H,3,)</f>
        <v>TE DE REDUÇÃO 90 GRAUS SOLDÁVEL  200X200 MM</v>
      </c>
      <c r="F182" s="234" t="s">
        <v>67</v>
      </c>
      <c r="G182" s="235">
        <f>VLOOKUP(B182,'MEMÓRIA DE CÁLCULO'!$B:$H,7,)</f>
        <v>3</v>
      </c>
      <c r="H182" s="236"/>
      <c r="I182" s="236"/>
      <c r="J182" s="237"/>
      <c r="K182" s="649" t="e">
        <f t="shared" si="2"/>
        <v>#DIV/0!</v>
      </c>
    </row>
    <row r="183" spans="2:11" s="6" customFormat="1" ht="15" x14ac:dyDescent="0.25">
      <c r="B183" s="219" t="s">
        <v>508</v>
      </c>
      <c r="C183" s="233" t="s">
        <v>1110</v>
      </c>
      <c r="D183" s="233" t="str">
        <f>VLOOKUP(B183,'MEMÓRIA DE CÁLCULO'!$B:$H,2,)</f>
        <v>COMPOSIÇÃO 15</v>
      </c>
      <c r="E183" s="377" t="str">
        <f>VLOOKUP(B183,'MEMÓRIA DE CÁLCULO'!$B:$H,3,)</f>
        <v>JOELHO 90° PVC 200MM</v>
      </c>
      <c r="F183" s="234" t="s">
        <v>67</v>
      </c>
      <c r="G183" s="235">
        <f>VLOOKUP(B183,'MEMÓRIA DE CÁLCULO'!$B:$H,7,)</f>
        <v>2</v>
      </c>
      <c r="H183" s="236"/>
      <c r="I183" s="236"/>
      <c r="J183" s="375"/>
      <c r="K183" s="649" t="e">
        <f t="shared" si="2"/>
        <v>#DIV/0!</v>
      </c>
    </row>
    <row r="184" spans="2:11" s="6" customFormat="1" ht="15" x14ac:dyDescent="0.25">
      <c r="B184" s="220" t="s">
        <v>511</v>
      </c>
      <c r="C184" s="233" t="s">
        <v>1110</v>
      </c>
      <c r="D184" s="233" t="str">
        <f>VLOOKUP(B184,'MEMÓRIA DE CÁLCULO'!$B:$H,2,)</f>
        <v>COMPOSIÇÃO 16</v>
      </c>
      <c r="E184" s="377" t="str">
        <f>VLOOKUP(B184,'MEMÓRIA DE CÁLCULO'!$B:$H,3,)</f>
        <v>LUVA SIMPLES DIÂM. 200MM</v>
      </c>
      <c r="F184" s="234" t="s">
        <v>67</v>
      </c>
      <c r="G184" s="235">
        <f>VLOOKUP(B184,'MEMÓRIA DE CÁLCULO'!$B:$H,7,)</f>
        <v>5</v>
      </c>
      <c r="H184" s="236"/>
      <c r="I184" s="236"/>
      <c r="J184" s="237"/>
      <c r="K184" s="649" t="e">
        <f t="shared" si="2"/>
        <v>#DIV/0!</v>
      </c>
    </row>
    <row r="185" spans="2:11" s="6" customFormat="1" ht="31.5" customHeight="1" x14ac:dyDescent="0.25">
      <c r="B185" s="219" t="s">
        <v>514</v>
      </c>
      <c r="C185" s="233" t="s">
        <v>1110</v>
      </c>
      <c r="D185" s="233">
        <f>VLOOKUP(B185,'MEMÓRIA DE CÁLCULO'!$B:$H,2,)</f>
        <v>82332</v>
      </c>
      <c r="E185" s="377" t="str">
        <f>VLOOKUP(B185,'MEMÓRIA DE CÁLCULO'!$B:$H,3,)</f>
        <v>TUBO LEVE PVC RIGIDO DIAMETRO 200 MM</v>
      </c>
      <c r="F185" s="234" t="s">
        <v>67</v>
      </c>
      <c r="G185" s="235">
        <f>VLOOKUP(B185,'MEMÓRIA DE CÁLCULO'!$B:$H,7,)</f>
        <v>117.34029999999998</v>
      </c>
      <c r="H185" s="236"/>
      <c r="I185" s="236"/>
      <c r="J185" s="237"/>
      <c r="K185" s="649" t="e">
        <f t="shared" si="2"/>
        <v>#DIV/0!</v>
      </c>
    </row>
    <row r="186" spans="2:11" s="6" customFormat="1" ht="15" x14ac:dyDescent="0.25">
      <c r="B186" s="81" t="s">
        <v>516</v>
      </c>
      <c r="C186" s="233" t="s">
        <v>1110</v>
      </c>
      <c r="D186" s="233">
        <f>VLOOKUP(B186,'MEMÓRIA DE CÁLCULO'!$B:$H,2,)</f>
        <v>82331</v>
      </c>
      <c r="E186" s="221" t="str">
        <f>VLOOKUP(B186,'MEMÓRIA DE CÁLCULO'!$B:$H,3,)</f>
        <v>TUBO LEVE PVC RIGIDO DIAMETRO 150 MM</v>
      </c>
      <c r="F186" s="63" t="s">
        <v>67</v>
      </c>
      <c r="G186" s="235">
        <f>VLOOKUP(B186,'MEMÓRIA DE CÁLCULO'!$B:$H,7,)</f>
        <v>37.696999999999996</v>
      </c>
      <c r="H186" s="68"/>
      <c r="I186" s="68"/>
      <c r="J186" s="177"/>
      <c r="K186" s="649" t="e">
        <f t="shared" si="2"/>
        <v>#DIV/0!</v>
      </c>
    </row>
    <row r="187" spans="2:11" s="6" customFormat="1" ht="28.5" x14ac:dyDescent="0.25">
      <c r="B187" s="81" t="s">
        <v>518</v>
      </c>
      <c r="C187" s="233" t="s">
        <v>1111</v>
      </c>
      <c r="D187" s="233" t="str">
        <f>VLOOKUP(B187,'MEMÓRIA DE CÁLCULO'!$B:$H,2,)</f>
        <v>SINAPI 89590</v>
      </c>
      <c r="E187" s="221" t="str">
        <f>VLOOKUP(B187,'MEMÓRIA DE CÁLCULO'!$B:$H,3,)</f>
        <v>JOELHO 90 GRAUS, PVC, SERIE R, ÁGUA PLUVIAL, DN 150 MM, JUNTA ELÁSTICA, FORNECIDO E INSTALADO EM CONDUTORES VERTICAIS DE ÁGUAS PLUVIAIS</v>
      </c>
      <c r="F187" s="63" t="s">
        <v>67</v>
      </c>
      <c r="G187" s="235">
        <f>VLOOKUP(B187,'MEMÓRIA DE CÁLCULO'!$B:$H,7,)</f>
        <v>9</v>
      </c>
      <c r="H187" s="68"/>
      <c r="I187" s="68"/>
      <c r="J187" s="177"/>
      <c r="K187" s="649" t="e">
        <f t="shared" si="2"/>
        <v>#DIV/0!</v>
      </c>
    </row>
    <row r="188" spans="2:11" s="6" customFormat="1" ht="15" x14ac:dyDescent="0.25">
      <c r="B188" s="855" t="s">
        <v>520</v>
      </c>
      <c r="C188" s="856"/>
      <c r="D188" s="856"/>
      <c r="E188" s="856"/>
      <c r="F188" s="856"/>
      <c r="G188" s="856"/>
      <c r="H188" s="856"/>
      <c r="I188" s="857"/>
      <c r="J188" s="277">
        <f>SUM(J189:J194)</f>
        <v>0</v>
      </c>
      <c r="K188" s="649" t="e">
        <f t="shared" si="2"/>
        <v>#DIV/0!</v>
      </c>
    </row>
    <row r="189" spans="2:11" s="6" customFormat="1" ht="15" x14ac:dyDescent="0.25">
      <c r="B189" s="147" t="s">
        <v>521</v>
      </c>
      <c r="C189" s="62" t="s">
        <v>1110</v>
      </c>
      <c r="D189" s="233">
        <f>VLOOKUP(B189,'MEMÓRIA DE CÁLCULO'!$B:$H,2,)</f>
        <v>85001</v>
      </c>
      <c r="E189" s="221" t="str">
        <f>VLOOKUP(B189,'MEMÓRIA DE CÁLCULO'!$B:$H,3,)</f>
        <v>EXTINTOR CO2 (6 KG) - CAPACIDADE EXTINTORA 5 BC</v>
      </c>
      <c r="F189" s="63" t="s">
        <v>67</v>
      </c>
      <c r="G189" s="235">
        <f>VLOOKUP(B189,'MEMÓRIA DE CÁLCULO'!$B:$H,7,)</f>
        <v>1</v>
      </c>
      <c r="H189" s="68"/>
      <c r="I189" s="68"/>
      <c r="J189" s="177"/>
      <c r="K189" s="649" t="e">
        <f t="shared" si="2"/>
        <v>#DIV/0!</v>
      </c>
    </row>
    <row r="190" spans="2:11" s="6" customFormat="1" ht="15" x14ac:dyDescent="0.25">
      <c r="B190" s="147" t="s">
        <v>524</v>
      </c>
      <c r="C190" s="62" t="s">
        <v>1110</v>
      </c>
      <c r="D190" s="233">
        <f>VLOOKUP(B190,'MEMÓRIA DE CÁLCULO'!$B:$H,2,)</f>
        <v>85003</v>
      </c>
      <c r="E190" s="377" t="str">
        <f>VLOOKUP(B190,'MEMÓRIA DE CÁLCULO'!$B:$H,3,)</f>
        <v>EXTINTOR PÓ QUÍMICO SECO (6 KG) - CAPACIDADE EXTINTORA 20 BC</v>
      </c>
      <c r="F190" s="63" t="s">
        <v>67</v>
      </c>
      <c r="G190" s="235">
        <f>VLOOKUP(B190,'MEMÓRIA DE CÁLCULO'!$B:$H,7,)</f>
        <v>7</v>
      </c>
      <c r="H190" s="68"/>
      <c r="I190" s="68"/>
      <c r="J190" s="83"/>
      <c r="K190" s="649" t="e">
        <f t="shared" si="2"/>
        <v>#DIV/0!</v>
      </c>
    </row>
    <row r="191" spans="2:11" s="6" customFormat="1" ht="15" x14ac:dyDescent="0.25">
      <c r="B191" s="147" t="s">
        <v>526</v>
      </c>
      <c r="C191" s="62" t="s">
        <v>1110</v>
      </c>
      <c r="D191" s="233" t="str">
        <f>VLOOKUP(B191,'MEMÓRIA DE CÁLCULO'!$B:$H,2,)</f>
        <v>COMPOSIÇÃO 3</v>
      </c>
      <c r="E191" s="221" t="str">
        <f>VLOOKUP(B191,'MEMÓRIA DE CÁLCULO'!$B:$H,3,)</f>
        <v>PLACA DE SINALIZAÇÃO - 13X26 CM - LETREIRO SAÍDA</v>
      </c>
      <c r="F191" s="63" t="s">
        <v>67</v>
      </c>
      <c r="G191" s="235">
        <f>VLOOKUP(B191,'MEMÓRIA DE CÁLCULO'!$B:$H,7,)</f>
        <v>2</v>
      </c>
      <c r="H191" s="68"/>
      <c r="I191" s="68"/>
      <c r="J191" s="83"/>
      <c r="K191" s="649" t="e">
        <f t="shared" si="2"/>
        <v>#DIV/0!</v>
      </c>
    </row>
    <row r="192" spans="2:11" s="6" customFormat="1" ht="15" x14ac:dyDescent="0.25">
      <c r="B192" s="147" t="s">
        <v>529</v>
      </c>
      <c r="C192" s="62" t="s">
        <v>1110</v>
      </c>
      <c r="D192" s="233" t="str">
        <f>VLOOKUP(B192,'MEMÓRIA DE CÁLCULO'!$B:$H,2,)</f>
        <v>COMPOSIÇÃO 4</v>
      </c>
      <c r="E192" s="221" t="str">
        <f>VLOOKUP(B192,'MEMÓRIA DE CÁLCULO'!$B:$H,3,)</f>
        <v>PLACA DE SINALIZAÇÃO - 13X26 CM - SAÍDA SETA DIREITA</v>
      </c>
      <c r="F192" s="63" t="s">
        <v>67</v>
      </c>
      <c r="G192" s="235">
        <f>VLOOKUP(B192,'MEMÓRIA DE CÁLCULO'!$B:$H,7,)</f>
        <v>4</v>
      </c>
      <c r="H192" s="68"/>
      <c r="I192" s="68"/>
      <c r="J192" s="83"/>
      <c r="K192" s="649" t="e">
        <f t="shared" si="2"/>
        <v>#DIV/0!</v>
      </c>
    </row>
    <row r="193" spans="2:11" s="6" customFormat="1" ht="15" x14ac:dyDescent="0.25">
      <c r="B193" s="147" t="s">
        <v>532</v>
      </c>
      <c r="C193" s="62" t="s">
        <v>1110</v>
      </c>
      <c r="D193" s="233" t="str">
        <f>VLOOKUP(B193,'MEMÓRIA DE CÁLCULO'!$B:$H,2,)</f>
        <v>COMPOSIÇÃO 5</v>
      </c>
      <c r="E193" s="377" t="str">
        <f>VLOOKUP(B193,'MEMÓRIA DE CÁLCULO'!$B:$H,3,)</f>
        <v>PLACA DE SINALIZAÇÃO - 13X26 CM - SAÍDA SETA ESQUERDA</v>
      </c>
      <c r="F193" s="63" t="s">
        <v>67</v>
      </c>
      <c r="G193" s="235">
        <f>VLOOKUP(B193,'MEMÓRIA DE CÁLCULO'!$B:$H,7,)</f>
        <v>1</v>
      </c>
      <c r="H193" s="68"/>
      <c r="I193" s="68"/>
      <c r="J193" s="83"/>
      <c r="K193" s="649" t="e">
        <f t="shared" si="2"/>
        <v>#DIV/0!</v>
      </c>
    </row>
    <row r="194" spans="2:11" s="6" customFormat="1" ht="15" x14ac:dyDescent="0.25">
      <c r="B194" s="147" t="s">
        <v>535</v>
      </c>
      <c r="C194" s="62" t="s">
        <v>1110</v>
      </c>
      <c r="D194" s="233" t="str">
        <f>VLOOKUP(B194,'MEMÓRIA DE CÁLCULO'!$B:$H,2,)</f>
        <v>COMPOSIÇÃO 6</v>
      </c>
      <c r="E194" s="377" t="str">
        <f>VLOOKUP(B194,'MEMÓRIA DE CÁLCULO'!$B:$H,3,)</f>
        <v>PLACA DE SINALIZAÇÃO - 20X20 CM - EXTINTOR</v>
      </c>
      <c r="F194" s="63" t="s">
        <v>67</v>
      </c>
      <c r="G194" s="235">
        <f>VLOOKUP(B194,'MEMÓRIA DE CÁLCULO'!$B:$H,7,)</f>
        <v>8</v>
      </c>
      <c r="H194" s="68"/>
      <c r="I194" s="68"/>
      <c r="J194" s="83"/>
      <c r="K194" s="649" t="e">
        <f t="shared" si="2"/>
        <v>#DIV/0!</v>
      </c>
    </row>
    <row r="195" spans="2:11" s="6" customFormat="1" ht="15" x14ac:dyDescent="0.25">
      <c r="B195" s="14"/>
      <c r="C195" s="4"/>
      <c r="D195" s="233"/>
      <c r="E195" s="377"/>
      <c r="F195" s="3"/>
      <c r="G195" s="235"/>
      <c r="H195" s="122"/>
      <c r="I195" s="122"/>
      <c r="J195" s="123"/>
      <c r="K195" s="649" t="e">
        <f t="shared" si="2"/>
        <v>#DIV/0!</v>
      </c>
    </row>
    <row r="196" spans="2:11" s="6" customFormat="1" ht="15" x14ac:dyDescent="0.25">
      <c r="B196" s="849" t="s">
        <v>1126</v>
      </c>
      <c r="C196" s="850"/>
      <c r="D196" s="850"/>
      <c r="E196" s="850"/>
      <c r="F196" s="850"/>
      <c r="G196" s="850"/>
      <c r="H196" s="850"/>
      <c r="I196" s="851"/>
      <c r="J196" s="37">
        <f>SUM(J198:J208)</f>
        <v>0</v>
      </c>
      <c r="K196" s="649" t="e">
        <f t="shared" si="2"/>
        <v>#DIV/0!</v>
      </c>
    </row>
    <row r="197" spans="2:11" s="6" customFormat="1" ht="15" x14ac:dyDescent="0.25">
      <c r="B197" s="10">
        <v>8</v>
      </c>
      <c r="C197" s="847" t="s">
        <v>540</v>
      </c>
      <c r="D197" s="847"/>
      <c r="E197" s="847"/>
      <c r="F197" s="847"/>
      <c r="G197" s="847"/>
      <c r="H197" s="847"/>
      <c r="I197" s="847"/>
      <c r="J197" s="848"/>
      <c r="K197" s="649" t="e">
        <f t="shared" si="2"/>
        <v>#DIV/0!</v>
      </c>
    </row>
    <row r="198" spans="2:11" s="6" customFormat="1" ht="15" x14ac:dyDescent="0.25">
      <c r="B198" s="108" t="s">
        <v>541</v>
      </c>
      <c r="C198" s="110" t="s">
        <v>1110</v>
      </c>
      <c r="D198" s="62">
        <f>VLOOKUP(B198,'MEMÓRIA DE CÁLCULO'!B:H,2,)</f>
        <v>91007</v>
      </c>
      <c r="E198" s="65" t="str">
        <f>VLOOKUP(B198,'MEMÓRIA DE CÁLCULO'!$B:$H,3,)</f>
        <v>CENTRAL DE GÁS PADRÃO GOINFRA/2019 COMPLETA, EXCLUSO AS INSTALAÇÕES MECÂNICAS (1+1 CILINDRO P-45)</v>
      </c>
      <c r="F198" s="71" t="s">
        <v>67</v>
      </c>
      <c r="G198" s="63">
        <f>VLOOKUP(B198,'MEMÓRIA DE CÁLCULO'!$B:$H,7,)</f>
        <v>1</v>
      </c>
      <c r="H198" s="109"/>
      <c r="I198" s="109"/>
      <c r="J198" s="83"/>
      <c r="K198" s="649" t="e">
        <f t="shared" si="2"/>
        <v>#DIV/0!</v>
      </c>
    </row>
    <row r="199" spans="2:11" ht="15" x14ac:dyDescent="0.25">
      <c r="B199" s="108" t="s">
        <v>544</v>
      </c>
      <c r="C199" s="110" t="s">
        <v>1110</v>
      </c>
      <c r="D199" s="62">
        <f>VLOOKUP(B199,'MEMÓRIA DE CÁLCULO'!B:H,2,)</f>
        <v>91012</v>
      </c>
      <c r="E199" s="65" t="str">
        <f>VLOOKUP(B199,'MEMÓRIA DE CÁLCULO'!$B:$H,3,)</f>
        <v>TUBO DE AÇO GALVANIZADO 3/4" SCHEDULE 40, ROSCA NPT - NBR 5590</v>
      </c>
      <c r="F199" s="71" t="s">
        <v>63</v>
      </c>
      <c r="G199" s="63">
        <f>VLOOKUP(B199,'MEMÓRIA DE CÁLCULO'!$B:$H,7,)</f>
        <v>12</v>
      </c>
      <c r="H199" s="109"/>
      <c r="I199" s="109"/>
      <c r="J199" s="83"/>
      <c r="K199" s="649" t="e">
        <f t="shared" si="2"/>
        <v>#DIV/0!</v>
      </c>
    </row>
    <row r="200" spans="2:11" ht="15" x14ac:dyDescent="0.25">
      <c r="B200" s="108" t="s">
        <v>546</v>
      </c>
      <c r="C200" s="110" t="s">
        <v>1110</v>
      </c>
      <c r="D200" s="62">
        <f>VLOOKUP(B200,'MEMÓRIA DE CÁLCULO'!B:H,2,)</f>
        <v>91018</v>
      </c>
      <c r="E200" s="65" t="str">
        <f>VLOOKUP(B200,'MEMÓRIA DE CÁLCULO'!$B:$H,3,)</f>
        <v>COTOVELO 90º FERRO MALEÁVEL GALVANIZADO 3/4" CLASSE 150 ROSCA NPT NBR 6925</v>
      </c>
      <c r="F200" s="71" t="s">
        <v>67</v>
      </c>
      <c r="G200" s="63">
        <f>VLOOKUP(B200,'MEMÓRIA DE CÁLCULO'!$B:$H,7,)</f>
        <v>13</v>
      </c>
      <c r="H200" s="109"/>
      <c r="I200" s="109"/>
      <c r="J200" s="83"/>
      <c r="K200" s="649" t="e">
        <f t="shared" si="2"/>
        <v>#DIV/0!</v>
      </c>
    </row>
    <row r="201" spans="2:11" ht="15" x14ac:dyDescent="0.25">
      <c r="B201" s="108" t="s">
        <v>548</v>
      </c>
      <c r="C201" s="110" t="s">
        <v>1110</v>
      </c>
      <c r="D201" s="62">
        <f>VLOOKUP(B201,'MEMÓRIA DE CÁLCULO'!B:H,2,)</f>
        <v>91020</v>
      </c>
      <c r="E201" s="65" t="str">
        <f>VLOOKUP(B201,'MEMÓRIA DE CÁLCULO'!$B:$H,3,)</f>
        <v>TE DE FERRO MALEÁVEL GALVANIZADO 3/4" CLASSE 150 ROSCA NPT NBR 6925</v>
      </c>
      <c r="F201" s="71" t="s">
        <v>67</v>
      </c>
      <c r="G201" s="63">
        <f>VLOOKUP(B201,'MEMÓRIA DE CÁLCULO'!B:H,7,)</f>
        <v>4</v>
      </c>
      <c r="H201" s="109"/>
      <c r="I201" s="109"/>
      <c r="J201" s="83"/>
      <c r="K201" s="649" t="e">
        <f t="shared" si="2"/>
        <v>#DIV/0!</v>
      </c>
    </row>
    <row r="202" spans="2:11" ht="15" x14ac:dyDescent="0.25">
      <c r="B202" s="108" t="s">
        <v>550</v>
      </c>
      <c r="C202" s="110" t="s">
        <v>1110</v>
      </c>
      <c r="D202" s="62">
        <f>VLOOKUP(B202,'MEMÓRIA DE CÁLCULO'!B:H,2,)</f>
        <v>91021</v>
      </c>
      <c r="E202" s="65" t="str">
        <f>VLOOKUP(B202,'MEMÓRIA DE CÁLCULO'!$B:$H,3,)</f>
        <v>LUVA REDUÇÃO DE FERRO MALEÁVEL GALVANIZADO 3/4" X 1/2", CLASSE 150, ROSCA NPT - NBR 6925</v>
      </c>
      <c r="F202" s="71" t="s">
        <v>67</v>
      </c>
      <c r="G202" s="63">
        <f>VLOOKUP(B202,'MEMÓRIA DE CÁLCULO'!B:H,7,)</f>
        <v>4</v>
      </c>
      <c r="H202" s="109"/>
      <c r="I202" s="109"/>
      <c r="J202" s="83"/>
      <c r="K202" s="649" t="e">
        <f t="shared" si="2"/>
        <v>#DIV/0!</v>
      </c>
    </row>
    <row r="203" spans="2:11" ht="15" x14ac:dyDescent="0.25">
      <c r="B203" s="108" t="s">
        <v>552</v>
      </c>
      <c r="C203" s="110" t="s">
        <v>1110</v>
      </c>
      <c r="D203" s="62">
        <f>VLOOKUP(B203,'MEMÓRIA DE CÁLCULO'!B:H,2,)</f>
        <v>91025</v>
      </c>
      <c r="E203" s="65" t="str">
        <f>VLOOKUP(B203,'MEMÓRIA DE CÁLCULO'!$B:$H,3,)</f>
        <v>VÁLVULA DE ESFERA TRIPARTIDA 3/4", PASSAGEM PLENA, ROSCA NPT, CLASSE 300 - NORMA ASME B16.34</v>
      </c>
      <c r="F203" s="71" t="s">
        <v>67</v>
      </c>
      <c r="G203" s="63">
        <f>VLOOKUP(B203,'MEMÓRIA DE CÁLCULO'!B:H,7,)</f>
        <v>4</v>
      </c>
      <c r="H203" s="109"/>
      <c r="I203" s="109"/>
      <c r="J203" s="83"/>
      <c r="K203" s="649" t="e">
        <f t="shared" si="2"/>
        <v>#DIV/0!</v>
      </c>
    </row>
    <row r="204" spans="2:11" ht="15" x14ac:dyDescent="0.25">
      <c r="B204" s="108" t="s">
        <v>554</v>
      </c>
      <c r="C204" s="110" t="s">
        <v>1110</v>
      </c>
      <c r="D204" s="62">
        <f>VLOOKUP(B204,'MEMÓRIA DE CÁLCULO'!B:H,2,)</f>
        <v>91029</v>
      </c>
      <c r="E204" s="65" t="str">
        <f>VLOOKUP(B204,'MEMÓRIA DE CÁLCULO'!$B:$H,3,)</f>
        <v>VÁLVULA DE RETENÇÃO EM LATÃO 7/16" NS (I) X 1/2" NPT (E)</v>
      </c>
      <c r="F204" s="71" t="s">
        <v>67</v>
      </c>
      <c r="G204" s="63">
        <f>VLOOKUP(B204,'MEMÓRIA DE CÁLCULO'!B:H,7,)</f>
        <v>4</v>
      </c>
      <c r="H204" s="109"/>
      <c r="I204" s="109"/>
      <c r="J204" s="83"/>
      <c r="K204" s="649" t="e">
        <f t="shared" ref="K204:K267" si="3">(J204*100%)/$J$310</f>
        <v>#DIV/0!</v>
      </c>
    </row>
    <row r="205" spans="2:11" ht="28.5" x14ac:dyDescent="0.25">
      <c r="B205" s="108" t="s">
        <v>556</v>
      </c>
      <c r="C205" s="110" t="s">
        <v>1110</v>
      </c>
      <c r="D205" s="62">
        <f>VLOOKUP(B205,'MEMÓRIA DE CÁLCULO'!B:H,2,)</f>
        <v>91041</v>
      </c>
      <c r="E205" s="65" t="str">
        <f>VLOOKUP(B205,'MEMÓRIA DE CÁLCULO'!$B:$H,3,)</f>
        <v>CHICOTE "PIGTAIL" FLEXÍVEL PARA P-45 DE MANGUEIRA NITRÍLICA COM COMPRIMENTO DE 500 MM E ROSCA DAS CONEXÕES DE 7/8" R.E. X 7/16"NS OU M20 X 7/16" NS - NBR 13419</v>
      </c>
      <c r="F205" s="71" t="s">
        <v>67</v>
      </c>
      <c r="G205" s="63">
        <f>VLOOKUP(B205,'MEMÓRIA DE CÁLCULO'!B:H,7,)</f>
        <v>4</v>
      </c>
      <c r="H205" s="109"/>
      <c r="I205" s="109"/>
      <c r="J205" s="83"/>
      <c r="K205" s="649" t="e">
        <f t="shared" si="3"/>
        <v>#DIV/0!</v>
      </c>
    </row>
    <row r="206" spans="2:11" ht="28.5" x14ac:dyDescent="0.25">
      <c r="B206" s="108" t="s">
        <v>558</v>
      </c>
      <c r="C206" s="110" t="s">
        <v>1110</v>
      </c>
      <c r="D206" s="62">
        <f>VLOOKUP(B206,'MEMÓRIA DE CÁLCULO'!B:H,2,)</f>
        <v>91045</v>
      </c>
      <c r="E206" s="65" t="str">
        <f>VLOOKUP(B206,'MEMÓRIA DE CÁLCULO'!$B:$H,3,)</f>
        <v>SUPORTE "L" , EM FERRO CHATO 1/8" X 1" PINTADO (42CM) PARA TUBO DE AÇO GALVANIZADO 3/4" - INCLUSO ABRAÇADEIRA TIPO "U" 3/4"/PARAFUSOS/PORCAS/ ARRUELAS, BEM COMO A FIXAÇÃO NA PAREDE COM BUCHAS/PARAFUSOS.</v>
      </c>
      <c r="F206" s="71" t="s">
        <v>67</v>
      </c>
      <c r="G206" s="63">
        <f>VLOOKUP(B206,'MEMÓRIA DE CÁLCULO'!B:H,7,)</f>
        <v>4</v>
      </c>
      <c r="H206" s="109"/>
      <c r="I206" s="109"/>
      <c r="J206" s="83"/>
      <c r="K206" s="649" t="e">
        <f t="shared" si="3"/>
        <v>#DIV/0!</v>
      </c>
    </row>
    <row r="207" spans="2:11" ht="15" x14ac:dyDescent="0.25">
      <c r="B207" s="108" t="s">
        <v>560</v>
      </c>
      <c r="C207" s="110" t="s">
        <v>1110</v>
      </c>
      <c r="D207" s="62">
        <f>VLOOKUP(B207,'MEMÓRIA DE CÁLCULO'!B:H,2,)</f>
        <v>91046</v>
      </c>
      <c r="E207" s="65" t="str">
        <f>VLOOKUP(B207,'MEMÓRIA DE CÁLCULO'!$B:$H,3,)</f>
        <v>PLACA DE SINALIZAÇÃO EM ALUMÍNIO 35 X 25 CM - "PERIGO - GÁS INFLAMÁVEL - PROIBIDO FUMAR</v>
      </c>
      <c r="F207" s="71" t="s">
        <v>67</v>
      </c>
      <c r="G207" s="63">
        <f>VLOOKUP(B207,'MEMÓRIA DE CÁLCULO'!B:H,7,)</f>
        <v>1</v>
      </c>
      <c r="H207" s="109"/>
      <c r="I207" s="109"/>
      <c r="J207" s="83"/>
      <c r="K207" s="649" t="e">
        <f t="shared" si="3"/>
        <v>#DIV/0!</v>
      </c>
    </row>
    <row r="208" spans="2:11" ht="28.5" x14ac:dyDescent="0.25">
      <c r="B208" s="108" t="s">
        <v>562</v>
      </c>
      <c r="C208" s="110" t="s">
        <v>1110</v>
      </c>
      <c r="D208" s="62">
        <f>VLOOKUP(B208,'MEMÓRIA DE CÁLCULO'!B:H,2,)</f>
        <v>91011</v>
      </c>
      <c r="E208" s="65" t="str">
        <f>VLOOKUP(B208,'MEMÓRIA DE CÁLCULO'!$B:$H,3,)</f>
        <v>REGULADOR DE PRESSÃO PRIMEIRO ESTÁGIO, 8 KG/H, REGULÁVEL COM MANÔMETRO, PRESSÃO DE ENTRADA 2 A 18 BAR E PRESSÃO DE SAÍDA 0,5 A 2 BAR, CONEXÕES DE ENTRADA E SAÍDA 1/4" NPT</v>
      </c>
      <c r="F208" s="71" t="s">
        <v>67</v>
      </c>
      <c r="G208" s="63">
        <f>VLOOKUP(B208,'MEMÓRIA DE CÁLCULO'!B:H,7,)</f>
        <v>2</v>
      </c>
      <c r="H208" s="109"/>
      <c r="I208" s="109"/>
      <c r="J208" s="83"/>
      <c r="K208" s="649" t="e">
        <f t="shared" si="3"/>
        <v>#DIV/0!</v>
      </c>
    </row>
    <row r="209" spans="2:11" ht="15" x14ac:dyDescent="0.25">
      <c r="B209" s="126"/>
      <c r="C209" s="244"/>
      <c r="D209" s="252"/>
      <c r="E209" s="105"/>
      <c r="F209" s="253"/>
      <c r="H209" s="127"/>
      <c r="I209" s="127"/>
      <c r="J209" s="123"/>
      <c r="K209" s="649" t="e">
        <f t="shared" si="3"/>
        <v>#DIV/0!</v>
      </c>
    </row>
    <row r="210" spans="2:11" ht="15" x14ac:dyDescent="0.25">
      <c r="B210" s="849" t="s">
        <v>1127</v>
      </c>
      <c r="C210" s="850"/>
      <c r="D210" s="850"/>
      <c r="E210" s="850"/>
      <c r="F210" s="850"/>
      <c r="G210" s="850"/>
      <c r="H210" s="850"/>
      <c r="I210" s="851"/>
      <c r="J210" s="37">
        <f>SUM(J212:J214)</f>
        <v>0</v>
      </c>
      <c r="K210" s="649" t="e">
        <f t="shared" si="3"/>
        <v>#DIV/0!</v>
      </c>
    </row>
    <row r="211" spans="2:11" ht="15" x14ac:dyDescent="0.25">
      <c r="B211" s="10">
        <v>9</v>
      </c>
      <c r="C211" s="847" t="s">
        <v>1128</v>
      </c>
      <c r="D211" s="847"/>
      <c r="E211" s="847"/>
      <c r="F211" s="847"/>
      <c r="G211" s="847"/>
      <c r="H211" s="847"/>
      <c r="I211" s="847"/>
      <c r="J211" s="848"/>
      <c r="K211" s="649" t="e">
        <f t="shared" si="3"/>
        <v>#DIV/0!</v>
      </c>
    </row>
    <row r="212" spans="2:11" ht="15" x14ac:dyDescent="0.25">
      <c r="B212" s="81" t="s">
        <v>566</v>
      </c>
      <c r="C212" s="62" t="s">
        <v>1110</v>
      </c>
      <c r="D212" s="62">
        <f>VLOOKUP(B212,'MEMÓRIA DE CÁLCULO'!B:H,2,)</f>
        <v>100160</v>
      </c>
      <c r="E212" s="65" t="str">
        <f>VLOOKUP(B212,'MEMÓRIA DE CÁLCULO'!$B:$H,3,)</f>
        <v>ALVENARIA DE TIJOLO FURADO 1/2 VEZ 14X29X9 - 6 FUROS - ARG. (1CALH:4ARML+100KG DE CI/M3)</v>
      </c>
      <c r="F212" s="63" t="s">
        <v>17</v>
      </c>
      <c r="G212" s="63">
        <f>VLOOKUP(B212,'MEMÓRIA DE CÁLCULO'!B:H,7,)</f>
        <v>606.22400000000005</v>
      </c>
      <c r="H212" s="557"/>
      <c r="I212" s="69"/>
      <c r="J212" s="83"/>
      <c r="K212" s="649" t="e">
        <f t="shared" si="3"/>
        <v>#DIV/0!</v>
      </c>
    </row>
    <row r="213" spans="2:11" ht="15" x14ac:dyDescent="0.25">
      <c r="B213" s="81" t="s">
        <v>586</v>
      </c>
      <c r="C213" s="62" t="s">
        <v>1110</v>
      </c>
      <c r="D213" s="62">
        <f>VLOOKUP(B213,'MEMÓRIA DE CÁLCULO'!B:H,2,)</f>
        <v>100320</v>
      </c>
      <c r="E213" s="65" t="str">
        <f>VLOOKUP(B213,'MEMÓRIA DE CÁLCULO'!$B:$H,3,)</f>
        <v>DIVISÓRIA DE GRANITO POLIDO</v>
      </c>
      <c r="F213" s="63" t="s">
        <v>17</v>
      </c>
      <c r="G213" s="63">
        <f>VLOOKUP(B213,'MEMÓRIA DE CÁLCULO'!B:H,7,)</f>
        <v>19.439999999999998</v>
      </c>
      <c r="H213" s="557"/>
      <c r="I213" s="69"/>
      <c r="J213" s="83"/>
      <c r="K213" s="649" t="e">
        <f t="shared" si="3"/>
        <v>#DIV/0!</v>
      </c>
    </row>
    <row r="214" spans="2:11" ht="15" x14ac:dyDescent="0.25">
      <c r="B214" s="81" t="s">
        <v>593</v>
      </c>
      <c r="C214" s="62" t="s">
        <v>1110</v>
      </c>
      <c r="D214" s="62">
        <f>VLOOKUP(B214,'MEMÓRIA DE CÁLCULO'!B:H,2,)</f>
        <v>100502</v>
      </c>
      <c r="E214" s="65" t="str">
        <f>VLOOKUP(B214,'MEMÓRIA DE CÁLCULO'!$B:$H,3,)</f>
        <v>ELEMENTO VAZADO CERÂMICO (6 x 18 x 18)</v>
      </c>
      <c r="F214" s="63" t="s">
        <v>17</v>
      </c>
      <c r="G214" s="63">
        <f>VLOOKUP(B214,'MEMÓRIA DE CÁLCULO'!B:H,7,)</f>
        <v>2.8</v>
      </c>
      <c r="H214" s="557"/>
      <c r="I214" s="69"/>
      <c r="J214" s="83"/>
      <c r="K214" s="649" t="e">
        <f t="shared" si="3"/>
        <v>#DIV/0!</v>
      </c>
    </row>
    <row r="215" spans="2:11" ht="15" x14ac:dyDescent="0.25">
      <c r="B215" s="14"/>
      <c r="D215" s="254"/>
      <c r="E215" s="105"/>
      <c r="G215" s="255"/>
      <c r="H215" s="19"/>
      <c r="I215" s="19"/>
      <c r="J215" s="123"/>
      <c r="K215" s="649" t="e">
        <f t="shared" si="3"/>
        <v>#DIV/0!</v>
      </c>
    </row>
    <row r="216" spans="2:11" ht="15" x14ac:dyDescent="0.25">
      <c r="B216" s="849" t="s">
        <v>1129</v>
      </c>
      <c r="C216" s="850"/>
      <c r="D216" s="850"/>
      <c r="E216" s="850"/>
      <c r="F216" s="850"/>
      <c r="G216" s="850"/>
      <c r="H216" s="850"/>
      <c r="I216" s="851"/>
      <c r="J216" s="37">
        <f>SUM(J218:J220)</f>
        <v>0</v>
      </c>
      <c r="K216" s="649" t="e">
        <f t="shared" si="3"/>
        <v>#DIV/0!</v>
      </c>
    </row>
    <row r="217" spans="2:11" ht="15" x14ac:dyDescent="0.25">
      <c r="B217" s="10">
        <v>10</v>
      </c>
      <c r="C217" s="847" t="s">
        <v>596</v>
      </c>
      <c r="D217" s="847"/>
      <c r="E217" s="847"/>
      <c r="F217" s="847"/>
      <c r="G217" s="847"/>
      <c r="H217" s="847"/>
      <c r="I217" s="847"/>
      <c r="J217" s="848"/>
      <c r="K217" s="649" t="e">
        <f t="shared" si="3"/>
        <v>#DIV/0!</v>
      </c>
    </row>
    <row r="218" spans="2:11" ht="15" x14ac:dyDescent="0.25">
      <c r="B218" s="147" t="s">
        <v>597</v>
      </c>
      <c r="C218" s="148" t="s">
        <v>1110</v>
      </c>
      <c r="D218" s="62">
        <f>VLOOKUP(B218,'MEMÓRIA DE CÁLCULO'!B:H,2,)</f>
        <v>120208</v>
      </c>
      <c r="E218" s="65" t="str">
        <f>VLOOKUP(B218,'MEMÓRIA DE CÁLCULO'!$B:$H,3,)</f>
        <v>IMPERMEABILIZAÇÃO-ARGAM. SINT.SEMI - FLEXÍVEL</v>
      </c>
      <c r="F218" s="150" t="s">
        <v>17</v>
      </c>
      <c r="G218" s="234">
        <f>VLOOKUP(B218,'MEMÓRIA DE CÁLCULO'!B:H,7,)</f>
        <v>464.08000000000004</v>
      </c>
      <c r="H218" s="242"/>
      <c r="I218" s="151"/>
      <c r="J218" s="152"/>
      <c r="K218" s="649" t="e">
        <f t="shared" si="3"/>
        <v>#DIV/0!</v>
      </c>
    </row>
    <row r="219" spans="2:11" ht="15" x14ac:dyDescent="0.25">
      <c r="B219" s="81" t="s">
        <v>623</v>
      </c>
      <c r="C219" s="62" t="s">
        <v>1110</v>
      </c>
      <c r="D219" s="62">
        <f>VLOOKUP(B219,'MEMÓRIA DE CÁLCULO'!B:H,2,)</f>
        <v>120107</v>
      </c>
      <c r="E219" s="65" t="str">
        <f>VLOOKUP(B219,'MEMÓRIA DE CÁLCULO'!$B:$H,3,)</f>
        <v>MANTA ASFÁLTICA TIPO III - B ( 3 MM)</v>
      </c>
      <c r="F219" s="63" t="s">
        <v>17</v>
      </c>
      <c r="G219" s="63">
        <f>VLOOKUP(B219,'MEMÓRIA DE CÁLCULO'!B:H,7,)</f>
        <v>485.58749999999998</v>
      </c>
      <c r="H219" s="241"/>
      <c r="I219" s="76"/>
      <c r="J219" s="84"/>
      <c r="K219" s="649" t="e">
        <f t="shared" si="3"/>
        <v>#DIV/0!</v>
      </c>
    </row>
    <row r="220" spans="2:11" s="6" customFormat="1" ht="15" x14ac:dyDescent="0.25">
      <c r="B220" s="108" t="s">
        <v>641</v>
      </c>
      <c r="C220" s="70" t="s">
        <v>1111</v>
      </c>
      <c r="D220" s="62" t="str">
        <f>VLOOKUP(B220,'MEMÓRIA DE CÁLCULO'!B:H,2,)</f>
        <v>SINAPI 98561</v>
      </c>
      <c r="E220" s="65" t="str">
        <f>VLOOKUP(B220,'MEMÓRIA DE CÁLCULO'!$B:$H,3,)</f>
        <v>IMPERMEABILIZAÇÃO DE PAREDES COM ARGAMASSA DE CIMENTO E AREIA, COM ADITIVO  IMPERMEABILIZANTE, E = 2CM</v>
      </c>
      <c r="F220" s="71" t="s">
        <v>17</v>
      </c>
      <c r="G220" s="63">
        <f>VLOOKUP(B220,'MEMÓRIA DE CÁLCULO'!B:H,7,)</f>
        <v>1558.83</v>
      </c>
      <c r="H220" s="240"/>
      <c r="I220" s="112"/>
      <c r="J220" s="84"/>
      <c r="K220" s="649" t="e">
        <f t="shared" si="3"/>
        <v>#DIV/0!</v>
      </c>
    </row>
    <row r="221" spans="2:11" ht="15" x14ac:dyDescent="0.25">
      <c r="B221" s="14"/>
      <c r="D221" s="4"/>
      <c r="E221" s="105"/>
      <c r="H221" s="115"/>
      <c r="I221" s="115"/>
      <c r="J221" s="116"/>
      <c r="K221" s="649" t="e">
        <f t="shared" si="3"/>
        <v>#DIV/0!</v>
      </c>
    </row>
    <row r="222" spans="2:11" ht="15" x14ac:dyDescent="0.25">
      <c r="B222" s="858" t="s">
        <v>1130</v>
      </c>
      <c r="C222" s="859"/>
      <c r="D222" s="859"/>
      <c r="E222" s="859"/>
      <c r="F222" s="859"/>
      <c r="G222" s="859"/>
      <c r="H222" s="859"/>
      <c r="I222" s="859"/>
      <c r="J222" s="37">
        <f>SUM(J224:J226)</f>
        <v>0</v>
      </c>
      <c r="K222" s="649" t="e">
        <f t="shared" si="3"/>
        <v>#DIV/0!</v>
      </c>
    </row>
    <row r="223" spans="2:11" ht="15" x14ac:dyDescent="0.25">
      <c r="B223" s="10">
        <v>11</v>
      </c>
      <c r="C223" s="868" t="s">
        <v>1131</v>
      </c>
      <c r="D223" s="852"/>
      <c r="E223" s="852"/>
      <c r="F223" s="852"/>
      <c r="G223" s="852"/>
      <c r="H223" s="852"/>
      <c r="I223" s="852"/>
      <c r="J223" s="853"/>
      <c r="K223" s="649" t="e">
        <f t="shared" si="3"/>
        <v>#DIV/0!</v>
      </c>
    </row>
    <row r="224" spans="2:11" ht="15" x14ac:dyDescent="0.25">
      <c r="B224" s="81" t="s">
        <v>650</v>
      </c>
      <c r="C224" s="70" t="s">
        <v>1110</v>
      </c>
      <c r="D224" s="62">
        <f>VLOOKUP(B224,'MEMÓRIA DE CÁLCULO'!B:H,2,)</f>
        <v>140101</v>
      </c>
      <c r="E224" s="65" t="str">
        <f>VLOOKUP(B224,'MEMÓRIA DE CÁLCULO'!B:H,3,)</f>
        <v>ESTRUTURA TELHA CERÂMICA V3 7 M  C/FERRAGENS</v>
      </c>
      <c r="F224" s="63" t="s">
        <v>17</v>
      </c>
      <c r="G224" s="63">
        <f>VLOOKUP(B224,'MEMÓRIA DE CÁLCULO'!B:H,7,)</f>
        <v>80.04249999999999</v>
      </c>
      <c r="H224" s="76"/>
      <c r="I224" s="76"/>
      <c r="J224" s="84"/>
      <c r="K224" s="649" t="e">
        <f t="shared" si="3"/>
        <v>#DIV/0!</v>
      </c>
    </row>
    <row r="225" spans="2:11" ht="15" x14ac:dyDescent="0.25">
      <c r="B225" s="81" t="s">
        <v>655</v>
      </c>
      <c r="C225" s="62" t="s">
        <v>1110</v>
      </c>
      <c r="D225" s="62">
        <f>VLOOKUP(B225,'MEMÓRIA DE CÁLCULO'!B:H,2,)</f>
        <v>140201</v>
      </c>
      <c r="E225" s="65" t="s">
        <v>1170</v>
      </c>
      <c r="F225" s="63" t="s">
        <v>17</v>
      </c>
      <c r="G225" s="63">
        <f>VLOOKUP(B225,'MEMÓRIA DE CÁLCULO'!B:H,7,)</f>
        <v>232.36250000000001</v>
      </c>
      <c r="H225" s="76"/>
      <c r="I225" s="76"/>
      <c r="J225" s="84"/>
      <c r="K225" s="649" t="e">
        <f t="shared" si="3"/>
        <v>#DIV/0!</v>
      </c>
    </row>
    <row r="226" spans="2:11" ht="28.5" x14ac:dyDescent="0.25">
      <c r="B226" s="81" t="s">
        <v>660</v>
      </c>
      <c r="C226" s="62" t="s">
        <v>1111</v>
      </c>
      <c r="D226" s="62" t="str">
        <f>VLOOKUP(B226,'MEMÓRIA DE CÁLCULO'!B:H,2,)</f>
        <v>SINAPI 100384</v>
      </c>
      <c r="E226" s="65" t="str">
        <f>VLOOKUP(B226,'MEMÓRIA DE CÁLCULO'!B:H,3,)</f>
        <v>FABRICAÇÃO E INSTALAÇÃO DE PONTALETES DE MADEIRA NÃO APARELHADA PARA TELHADOS COM ATÉ 2 ÁGUAS E COM TELHA ONDULADA DE FIBROCIMENTO, ALUMÍNIO OU PLÁSTICA EM EDIFÍCIO INSTITUCIONAL TÉRREO, INCLUSO TRANSPORTE VERTICAL</v>
      </c>
      <c r="F226" s="63" t="s">
        <v>17</v>
      </c>
      <c r="G226" s="63">
        <f>VLOOKUP(B226,'MEMÓRIA DE CÁLCULO'!B:H,7,)</f>
        <v>232.36250000000001</v>
      </c>
      <c r="H226" s="76"/>
      <c r="I226" s="76"/>
      <c r="J226" s="84"/>
      <c r="K226" s="649" t="e">
        <f t="shared" si="3"/>
        <v>#DIV/0!</v>
      </c>
    </row>
    <row r="227" spans="2:11" ht="15" x14ac:dyDescent="0.25">
      <c r="B227" s="130"/>
      <c r="C227" s="131"/>
      <c r="D227" s="131"/>
      <c r="E227" s="131"/>
      <c r="F227" s="131"/>
      <c r="G227" s="239"/>
      <c r="H227" s="131"/>
      <c r="I227" s="131"/>
      <c r="J227" s="132"/>
      <c r="K227" s="649" t="e">
        <f t="shared" si="3"/>
        <v>#DIV/0!</v>
      </c>
    </row>
    <row r="228" spans="2:11" ht="15" x14ac:dyDescent="0.25">
      <c r="B228" s="849" t="s">
        <v>1132</v>
      </c>
      <c r="C228" s="850"/>
      <c r="D228" s="850"/>
      <c r="E228" s="850"/>
      <c r="F228" s="850"/>
      <c r="G228" s="850"/>
      <c r="H228" s="850"/>
      <c r="I228" s="851"/>
      <c r="J228" s="37">
        <f>SUM(J230:J234)</f>
        <v>0</v>
      </c>
      <c r="K228" s="649" t="e">
        <f t="shared" si="3"/>
        <v>#DIV/0!</v>
      </c>
    </row>
    <row r="229" spans="2:11" ht="15" x14ac:dyDescent="0.25">
      <c r="B229" s="10">
        <v>12</v>
      </c>
      <c r="C229" s="868" t="s">
        <v>664</v>
      </c>
      <c r="D229" s="852"/>
      <c r="E229" s="852"/>
      <c r="F229" s="852"/>
      <c r="G229" s="852"/>
      <c r="H229" s="852"/>
      <c r="I229" s="852"/>
      <c r="J229" s="853"/>
      <c r="K229" s="649" t="e">
        <f t="shared" si="3"/>
        <v>#DIV/0!</v>
      </c>
    </row>
    <row r="230" spans="2:11" ht="15" x14ac:dyDescent="0.25">
      <c r="B230" s="147" t="s">
        <v>665</v>
      </c>
      <c r="C230" s="148" t="s">
        <v>1110</v>
      </c>
      <c r="D230" s="148">
        <f>VLOOKUP(B230,'MEMÓRIA DE CÁLCULO'!B:H,2,)</f>
        <v>160401</v>
      </c>
      <c r="E230" s="149" t="str">
        <f>VLOOKUP(B230,'MEMÓRIA DE CÁLCULO'!B:H,3,)</f>
        <v>COBERTURA COM TELHA TELHA PLAN RESINADA COR VERMELHA ( INCLUINDO A TRASPARENTE)</v>
      </c>
      <c r="F230" s="150" t="s">
        <v>17</v>
      </c>
      <c r="G230" s="238">
        <f>VLOOKUP(B230,'MEMÓRIA DE CÁLCULO'!B:H,7,)</f>
        <v>80.04249999999999</v>
      </c>
      <c r="H230" s="151"/>
      <c r="I230" s="151"/>
      <c r="J230" s="152"/>
      <c r="K230" s="649" t="e">
        <f t="shared" si="3"/>
        <v>#DIV/0!</v>
      </c>
    </row>
    <row r="231" spans="2:11" ht="15" x14ac:dyDescent="0.25">
      <c r="B231" s="81" t="s">
        <v>667</v>
      </c>
      <c r="C231" s="148" t="s">
        <v>1110</v>
      </c>
      <c r="D231" s="62">
        <f>VLOOKUP(B231,'MEMÓRIA DE CÁLCULO'!B:H,2,)</f>
        <v>160501</v>
      </c>
      <c r="E231" s="65" t="str">
        <f>VLOOKUP(B231,'MEMÓRIA DE CÁLCULO'!B:H,3,)</f>
        <v>COBERTURA COM TELHA ONDULADA OU EQUIV. (FIBROCIMENTO)</v>
      </c>
      <c r="F231" s="238" t="s">
        <v>17</v>
      </c>
      <c r="G231" s="63">
        <f>VLOOKUP(B231,'MEMÓRIA DE CÁLCULO'!B:H,7,)</f>
        <v>232.36250000000001</v>
      </c>
      <c r="H231" s="76"/>
      <c r="I231" s="76"/>
      <c r="J231" s="84"/>
      <c r="K231" s="649" t="e">
        <f t="shared" si="3"/>
        <v>#DIV/0!</v>
      </c>
    </row>
    <row r="232" spans="2:11" ht="15" x14ac:dyDescent="0.25">
      <c r="B232" s="81" t="s">
        <v>669</v>
      </c>
      <c r="C232" s="62" t="s">
        <v>1111</v>
      </c>
      <c r="D232" s="62" t="str">
        <f>VLOOKUP(B232,'MEMÓRIA DE CÁLCULO'!B:H,2,)</f>
        <v>SINAPI 94228</v>
      </c>
      <c r="E232" s="65" t="str">
        <f>VLOOKUP(B232,'MEMÓRIA DE CÁLCULO'!B:H,3,)</f>
        <v>CALHA EM CHAPA DE AÇO GALVANIZADO NÚMERO 24, DESENVOLVIMENTO DE 50 CM, INCLUSO TRANSPORTE VERTICAL.</v>
      </c>
      <c r="F232" s="63" t="s">
        <v>63</v>
      </c>
      <c r="G232" s="63">
        <f>VLOOKUP(B232,'MEMÓRIA DE CÁLCULO'!B:H,7,)</f>
        <v>133.24</v>
      </c>
      <c r="H232" s="76"/>
      <c r="I232" s="76"/>
      <c r="J232" s="84"/>
      <c r="K232" s="649" t="e">
        <f t="shared" si="3"/>
        <v>#DIV/0!</v>
      </c>
    </row>
    <row r="233" spans="2:11" ht="15" x14ac:dyDescent="0.25">
      <c r="B233" s="147" t="s">
        <v>680</v>
      </c>
      <c r="C233" s="62" t="s">
        <v>1110</v>
      </c>
      <c r="D233" s="62">
        <f>VLOOKUP(B233,'MEMÓRIA DE CÁLCULO'!B:H,2,)</f>
        <v>160602</v>
      </c>
      <c r="E233" s="65" t="str">
        <f>VLOOKUP(B233,'MEMÓRIA DE CÁLCULO'!B:H,3,)</f>
        <v>RUFO DE CHAPA GALVANIZADA</v>
      </c>
      <c r="F233" s="63" t="s">
        <v>63</v>
      </c>
      <c r="G233" s="63">
        <f>VLOOKUP(B233,'MEMÓRIA DE CÁLCULO'!B:H,7,)</f>
        <v>308.99</v>
      </c>
      <c r="H233" s="76"/>
      <c r="I233" s="76"/>
      <c r="J233" s="84"/>
      <c r="K233" s="649" t="e">
        <f t="shared" si="3"/>
        <v>#DIV/0!</v>
      </c>
    </row>
    <row r="234" spans="2:11" ht="15" x14ac:dyDescent="0.25">
      <c r="B234" s="81" t="s">
        <v>686</v>
      </c>
      <c r="C234" s="62" t="s">
        <v>1110</v>
      </c>
      <c r="D234" s="62">
        <f>VLOOKUP(B234,'MEMÓRIA DE CÁLCULO'!B:H,2,)</f>
        <v>160911</v>
      </c>
      <c r="E234" s="65" t="str">
        <f>VLOOKUP(B234,'MEMÓRIA DE CÁLCULO'!B:H,3,)</f>
        <v>COBERTURA COM TELHA FIBERGLASS COM VÉU PROTEÇÃO 1,5 MM COM ACESSÓRIOS</v>
      </c>
      <c r="F234" s="63" t="s">
        <v>17</v>
      </c>
      <c r="G234" s="63">
        <f>VLOOKUP(B234,'MEMÓRIA DE CÁLCULO'!B:H,7,)</f>
        <v>52.306799999999996</v>
      </c>
      <c r="H234" s="76"/>
      <c r="I234" s="76"/>
      <c r="J234" s="84"/>
      <c r="K234" s="649" t="e">
        <f t="shared" si="3"/>
        <v>#DIV/0!</v>
      </c>
    </row>
    <row r="235" spans="2:11" ht="15" x14ac:dyDescent="0.25">
      <c r="B235" s="117"/>
      <c r="C235" s="118"/>
      <c r="D235" s="118"/>
      <c r="E235" s="111"/>
      <c r="F235" s="119"/>
      <c r="G235" s="119"/>
      <c r="H235" s="120"/>
      <c r="I235" s="120"/>
      <c r="J235" s="116"/>
      <c r="K235" s="649" t="e">
        <f t="shared" si="3"/>
        <v>#DIV/0!</v>
      </c>
    </row>
    <row r="236" spans="2:11" ht="15" x14ac:dyDescent="0.25">
      <c r="B236" s="858" t="s">
        <v>1133</v>
      </c>
      <c r="C236" s="859"/>
      <c r="D236" s="859"/>
      <c r="E236" s="859"/>
      <c r="F236" s="859"/>
      <c r="G236" s="859"/>
      <c r="H236" s="859"/>
      <c r="I236" s="859"/>
      <c r="J236" s="38">
        <f>SUM(J238:J241)</f>
        <v>0</v>
      </c>
      <c r="K236" s="649" t="e">
        <f t="shared" si="3"/>
        <v>#DIV/0!</v>
      </c>
    </row>
    <row r="237" spans="2:11" ht="15" x14ac:dyDescent="0.25">
      <c r="B237" s="10">
        <v>13</v>
      </c>
      <c r="C237" s="868" t="s">
        <v>1134</v>
      </c>
      <c r="D237" s="852"/>
      <c r="E237" s="852"/>
      <c r="F237" s="852"/>
      <c r="G237" s="852"/>
      <c r="H237" s="852"/>
      <c r="I237" s="852"/>
      <c r="J237" s="853"/>
      <c r="K237" s="649" t="e">
        <f t="shared" si="3"/>
        <v>#DIV/0!</v>
      </c>
    </row>
    <row r="238" spans="2:11" ht="15" x14ac:dyDescent="0.25">
      <c r="B238" s="81" t="s">
        <v>691</v>
      </c>
      <c r="C238" s="62" t="s">
        <v>1110</v>
      </c>
      <c r="D238" s="62">
        <f>VLOOKUP(B238,'MEMÓRIA DE CÁLCULO'!B:H,2,)</f>
        <v>170102</v>
      </c>
      <c r="E238" s="80" t="str">
        <f>VLOOKUP(B238,'MEMÓRIA DE CÁLCULO'!B:H,3,)</f>
        <v>PORTA LISA 70x210 C/PORTAL E ALISAR S/FERRAGENS, CONFORME PROJETO ARQ.</v>
      </c>
      <c r="F238" s="63" t="s">
        <v>67</v>
      </c>
      <c r="G238" s="63">
        <f>VLOOKUP(B238,'MEMÓRIA DE CÁLCULO'!B:H,7,)</f>
        <v>2</v>
      </c>
      <c r="H238" s="76"/>
      <c r="I238" s="76"/>
      <c r="J238" s="84"/>
      <c r="K238" s="649" t="e">
        <f t="shared" si="3"/>
        <v>#DIV/0!</v>
      </c>
    </row>
    <row r="239" spans="2:11" ht="15" x14ac:dyDescent="0.25">
      <c r="B239" s="81" t="s">
        <v>696</v>
      </c>
      <c r="C239" s="62" t="s">
        <v>1110</v>
      </c>
      <c r="D239" s="62">
        <f>VLOOKUP(B239,'MEMÓRIA DE CÁLCULO'!B:H,2,)</f>
        <v>170103</v>
      </c>
      <c r="E239" s="80" t="str">
        <f>VLOOKUP(B239,'MEMÓRIA DE CÁLCULO'!B:H,3,)</f>
        <v>PORTA LISA 80x210 C/PORTAL E ALISAR S/FERRAGENS, CONFORME PROJETO ARQ.</v>
      </c>
      <c r="F239" s="63" t="s">
        <v>67</v>
      </c>
      <c r="G239" s="63">
        <f>VLOOKUP(B239,'MEMÓRIA DE CÁLCULO'!B:H,7,)</f>
        <v>2</v>
      </c>
      <c r="H239" s="76"/>
      <c r="I239" s="76"/>
      <c r="J239" s="84"/>
      <c r="K239" s="649" t="e">
        <f t="shared" si="3"/>
        <v>#DIV/0!</v>
      </c>
    </row>
    <row r="240" spans="2:11" ht="15" x14ac:dyDescent="0.25">
      <c r="B240" s="81" t="s">
        <v>698</v>
      </c>
      <c r="C240" s="62" t="s">
        <v>1110</v>
      </c>
      <c r="D240" s="62">
        <f>VLOOKUP(B240,'MEMÓRIA DE CÁLCULO'!B:H,2,)</f>
        <v>170110</v>
      </c>
      <c r="E240" s="80" t="str">
        <f>VLOOKUP(B240,'MEMÓRIA DE CÁLCULO'!B:H,3,)</f>
        <v>PORTA LISA 90x210 C/PORTAL E ALISAR S/FERRAGENS, CONFORME PROJETO ARQ.</v>
      </c>
      <c r="F240" s="63" t="s">
        <v>67</v>
      </c>
      <c r="G240" s="63">
        <f>VLOOKUP(B240,'MEMÓRIA DE CÁLCULO'!B:H,7,)</f>
        <v>5</v>
      </c>
      <c r="H240" s="76"/>
      <c r="I240" s="76"/>
      <c r="J240" s="84"/>
      <c r="K240" s="649" t="e">
        <f t="shared" si="3"/>
        <v>#DIV/0!</v>
      </c>
    </row>
    <row r="241" spans="2:11" ht="15" x14ac:dyDescent="0.25">
      <c r="B241" s="81" t="s">
        <v>700</v>
      </c>
      <c r="C241" s="62" t="s">
        <v>1110</v>
      </c>
      <c r="D241" s="62">
        <f>VLOOKUP(B241,'MEMÓRIA DE CÁLCULO'!B:H,2,)</f>
        <v>170111</v>
      </c>
      <c r="E241" s="80" t="str">
        <f>VLOOKUP(B241,'MEMÓRIA DE CÁLCULO'!B:H,3,)</f>
        <v>PORTA LISA 100x210 COM PORTAL E ALISAR S/FERRAGENS, CONFORME PROJETO ARQ.</v>
      </c>
      <c r="F241" s="63" t="s">
        <v>67</v>
      </c>
      <c r="G241" s="63">
        <f>VLOOKUP(B241,'MEMÓRIA DE CÁLCULO'!B:H,7,)</f>
        <v>3</v>
      </c>
      <c r="H241" s="76"/>
      <c r="I241" s="76"/>
      <c r="J241" s="84"/>
      <c r="K241" s="649" t="e">
        <f t="shared" si="3"/>
        <v>#DIV/0!</v>
      </c>
    </row>
    <row r="242" spans="2:11" ht="15" x14ac:dyDescent="0.25">
      <c r="B242" s="14"/>
      <c r="D242" s="4"/>
      <c r="E242" s="259"/>
      <c r="H242" s="115"/>
      <c r="I242" s="115"/>
      <c r="J242" s="116"/>
      <c r="K242" s="649" t="e">
        <f t="shared" si="3"/>
        <v>#DIV/0!</v>
      </c>
    </row>
    <row r="243" spans="2:11" ht="15" x14ac:dyDescent="0.25">
      <c r="B243" s="849" t="s">
        <v>1135</v>
      </c>
      <c r="C243" s="850"/>
      <c r="D243" s="850"/>
      <c r="E243" s="850"/>
      <c r="F243" s="850"/>
      <c r="G243" s="850"/>
      <c r="H243" s="850"/>
      <c r="I243" s="851"/>
      <c r="J243" s="38">
        <f>SUM(J245:J254)</f>
        <v>0</v>
      </c>
      <c r="K243" s="649" t="e">
        <f t="shared" si="3"/>
        <v>#DIV/0!</v>
      </c>
    </row>
    <row r="244" spans="2:11" ht="15" x14ac:dyDescent="0.25">
      <c r="B244" s="10">
        <v>14</v>
      </c>
      <c r="C244" s="847" t="s">
        <v>704</v>
      </c>
      <c r="D244" s="847"/>
      <c r="E244" s="847"/>
      <c r="F244" s="847"/>
      <c r="G244" s="847"/>
      <c r="H244" s="847"/>
      <c r="I244" s="847"/>
      <c r="J244" s="848"/>
      <c r="K244" s="649" t="e">
        <f t="shared" si="3"/>
        <v>#DIV/0!</v>
      </c>
    </row>
    <row r="245" spans="2:11" ht="32.25" customHeight="1" x14ac:dyDescent="0.25">
      <c r="B245" s="147" t="s">
        <v>705</v>
      </c>
      <c r="C245" s="148" t="s">
        <v>1111</v>
      </c>
      <c r="D245" s="148" t="str">
        <f>VLOOKUP(B245,'MEMÓRIA DE CÁLCULO'!B:H,2,)</f>
        <v>SINAPI 94570</v>
      </c>
      <c r="E245" s="80" t="str">
        <f>VLOOKUP(B245,'MEMÓRIA DE CÁLCULO'!B:H,3,)</f>
        <v>JANELA DE ALUMÍNIO DE CORRER COM 2 FOLHAS PARA VIDROS, COM VIDROS, BATENTE ACABAMENTO COM ACETATO OU BRILHANTE E FERRAGENS</v>
      </c>
      <c r="F245" s="150" t="s">
        <v>17</v>
      </c>
      <c r="G245" s="150">
        <f>VLOOKUP(B245,'MEMÓRIA DE CÁLCULO'!B:H,7,)</f>
        <v>64.06</v>
      </c>
      <c r="H245" s="151"/>
      <c r="I245" s="151"/>
      <c r="J245" s="152"/>
      <c r="K245" s="649" t="e">
        <f t="shared" si="3"/>
        <v>#DIV/0!</v>
      </c>
    </row>
    <row r="246" spans="2:11" ht="20.25" customHeight="1" x14ac:dyDescent="0.25">
      <c r="B246" s="81" t="s">
        <v>722</v>
      </c>
      <c r="C246" s="148" t="s">
        <v>1111</v>
      </c>
      <c r="D246" s="62" t="str">
        <f>VLOOKUP(B246,'MEMÓRIA DE CÁLCULO'!B:H,2,)</f>
        <v>SINAPI 94569</v>
      </c>
      <c r="E246" s="80" t="str">
        <f>VLOOKUP(B246,'MEMÓRIA DE CÁLCULO'!B:H,3,)</f>
        <v xml:space="preserve">JANELA DE ALUMÍNIO TIPO MAXIM-AR, COM VIDROS, BATENTE E FERRAGENS. </v>
      </c>
      <c r="F246" s="63" t="s">
        <v>17</v>
      </c>
      <c r="G246" s="63">
        <f>VLOOKUP(B246,'MEMÓRIA DE CÁLCULO'!B:H,7,)</f>
        <v>0.6</v>
      </c>
      <c r="H246" s="76"/>
      <c r="I246" s="76"/>
      <c r="J246" s="84"/>
      <c r="K246" s="649" t="e">
        <f t="shared" si="3"/>
        <v>#DIV/0!</v>
      </c>
    </row>
    <row r="247" spans="2:11" ht="15" x14ac:dyDescent="0.25">
      <c r="B247" s="81" t="s">
        <v>728</v>
      </c>
      <c r="C247" s="62" t="s">
        <v>1110</v>
      </c>
      <c r="D247" s="62">
        <f>VLOOKUP(B247,'MEMÓRIA DE CÁLCULO'!B:H,2,)</f>
        <v>180304</v>
      </c>
      <c r="E247" s="80" t="str">
        <f>VLOOKUP(B247,'MEMÓRIA DE CÁLCULO'!B:H,3,)</f>
        <v>PORTÃO DE ABRIR CHAPA 14 PT-4 C/FERRAGENS</v>
      </c>
      <c r="F247" s="63" t="s">
        <v>17</v>
      </c>
      <c r="G247" s="63">
        <f>VLOOKUP(B247,'MEMÓRIA DE CÁLCULO'!B:H,7,)</f>
        <v>1.4400000000000002</v>
      </c>
      <c r="H247" s="76"/>
      <c r="I247" s="76"/>
      <c r="J247" s="84"/>
      <c r="K247" s="649" t="e">
        <f t="shared" si="3"/>
        <v>#DIV/0!</v>
      </c>
    </row>
    <row r="248" spans="2:11" ht="15" x14ac:dyDescent="0.25">
      <c r="B248" s="81" t="s">
        <v>730</v>
      </c>
      <c r="C248" s="62" t="s">
        <v>1110</v>
      </c>
      <c r="D248" s="62">
        <f>VLOOKUP(B248,'MEMÓRIA DE CÁLCULO'!B:H,2,)</f>
        <v>180104</v>
      </c>
      <c r="E248" s="80" t="str">
        <f>VLOOKUP(B248,'MEMÓRIA DE CÁLCULO'!B:H,3,)</f>
        <v>PORTA DE ABRIR ALUMÍNIO NATURAL EM VENEZIANA C/FERRAGENS (M.O.FAB.INC.MAT.)</v>
      </c>
      <c r="F248" s="63" t="s">
        <v>17</v>
      </c>
      <c r="G248" s="63">
        <f>VLOOKUP(B248,'MEMÓRIA DE CÁLCULO'!B:H,7,)</f>
        <v>5.0400000000000009</v>
      </c>
      <c r="H248" s="76"/>
      <c r="I248" s="76"/>
      <c r="J248" s="84"/>
      <c r="K248" s="649" t="e">
        <f t="shared" si="3"/>
        <v>#DIV/0!</v>
      </c>
    </row>
    <row r="249" spans="2:11" ht="15" x14ac:dyDescent="0.25">
      <c r="B249" s="81" t="s">
        <v>733</v>
      </c>
      <c r="C249" s="62" t="s">
        <v>1110</v>
      </c>
      <c r="D249" s="62">
        <f>VLOOKUP(B249,'MEMÓRIA DE CÁLCULO'!B:H,2,)</f>
        <v>180506</v>
      </c>
      <c r="E249" s="80" t="str">
        <f>VLOOKUP(B249,'MEMÓRIA DE CÁLCULO'!B:H,3,)</f>
        <v>PORTA DE CORRER 4 FOLHAS PF-6 C/ FERRAGENS C/ PUXADOR</v>
      </c>
      <c r="F249" s="63" t="s">
        <v>17</v>
      </c>
      <c r="G249" s="63">
        <f>VLOOKUP(B249,'MEMÓRIA DE CÁLCULO'!B:H,7,)</f>
        <v>33.6</v>
      </c>
      <c r="H249" s="76"/>
      <c r="I249" s="76"/>
      <c r="J249" s="84"/>
      <c r="K249" s="649" t="e">
        <f t="shared" si="3"/>
        <v>#DIV/0!</v>
      </c>
    </row>
    <row r="250" spans="2:11" ht="15" x14ac:dyDescent="0.25">
      <c r="B250" s="81" t="s">
        <v>736</v>
      </c>
      <c r="C250" s="62" t="s">
        <v>1110</v>
      </c>
      <c r="D250" s="62">
        <f>VLOOKUP(B250,'MEMÓRIA DE CÁLCULO'!B:H,2,)</f>
        <v>180303</v>
      </c>
      <c r="E250" s="80" t="str">
        <f>VLOOKUP(B250,'MEMÓRIA DE CÁLCULO'!B:H,3,)</f>
        <v>PORTÃO DE ENROLAR C/FERRAGENS</v>
      </c>
      <c r="F250" s="63" t="s">
        <v>17</v>
      </c>
      <c r="G250" s="63">
        <f>VLOOKUP(B250,'MEMÓRIA DE CÁLCULO'!B:H,7,)</f>
        <v>4.32</v>
      </c>
      <c r="H250" s="76"/>
      <c r="I250" s="76"/>
      <c r="J250" s="84"/>
      <c r="K250" s="649" t="e">
        <f t="shared" si="3"/>
        <v>#DIV/0!</v>
      </c>
    </row>
    <row r="251" spans="2:11" ht="15" x14ac:dyDescent="0.25">
      <c r="B251" s="81" t="s">
        <v>739</v>
      </c>
      <c r="C251" s="62" t="s">
        <v>1110</v>
      </c>
      <c r="D251" s="62">
        <f>VLOOKUP(B251,'MEMÓRIA DE CÁLCULO'!B:H,2,)</f>
        <v>180305</v>
      </c>
      <c r="E251" s="80" t="str">
        <f>VLOOKUP(B251,'MEMÓRIA DE CÁLCULO'!B:H,3,)</f>
        <v>PORTÃO DE TELA E CANO GALVANIZ. PT 9 C/ FERRAGENS</v>
      </c>
      <c r="F251" s="63" t="s">
        <v>17</v>
      </c>
      <c r="G251" s="63">
        <f>VLOOKUP(B251,'MEMÓRIA DE CÁLCULO'!B:H,7,)</f>
        <v>4.26</v>
      </c>
      <c r="H251" s="76"/>
      <c r="I251" s="76"/>
      <c r="J251" s="84"/>
      <c r="K251" s="649" t="e">
        <f t="shared" si="3"/>
        <v>#DIV/0!</v>
      </c>
    </row>
    <row r="252" spans="2:11" ht="15" x14ac:dyDescent="0.25">
      <c r="B252" s="81" t="s">
        <v>743</v>
      </c>
      <c r="C252" s="62" t="s">
        <v>1110</v>
      </c>
      <c r="D252" s="62">
        <f>VLOOKUP(B252,'MEMÓRIA DE CÁLCULO'!B:H,2,)</f>
        <v>180311</v>
      </c>
      <c r="E252" s="80" t="str">
        <f>VLOOKUP(B252,'MEMÓRIA DE CÁLCULO'!B:H,3,)</f>
        <v>GRADE DE PROTEÇÃO/TUBO INDUSTRIAL/FERRO REDONDO – GP5</v>
      </c>
      <c r="F252" s="63" t="s">
        <v>17</v>
      </c>
      <c r="G252" s="63">
        <f>VLOOKUP(B252,'MEMÓRIA DE CÁLCULO'!B:H,7,)</f>
        <v>19.440000000000001</v>
      </c>
      <c r="H252" s="76"/>
      <c r="I252" s="76"/>
      <c r="J252" s="84"/>
      <c r="K252" s="649" t="e">
        <f t="shared" si="3"/>
        <v>#DIV/0!</v>
      </c>
    </row>
    <row r="253" spans="2:11" ht="15" x14ac:dyDescent="0.25">
      <c r="B253" s="81" t="s">
        <v>748</v>
      </c>
      <c r="C253" s="62" t="s">
        <v>1110</v>
      </c>
      <c r="D253" s="62">
        <f>VLOOKUP(B253,'MEMÓRIA DE CÁLCULO'!B:H,2,)</f>
        <v>180309</v>
      </c>
      <c r="E253" s="80" t="str">
        <f>VLOOKUP(B253,'MEMÓRIA DE CÁLCULO'!B:H,3,)</f>
        <v>PORTÃO DE CORRER E ABRIR CONJUGADO PT-8 C/FERRAGENS</v>
      </c>
      <c r="F253" s="63" t="s">
        <v>17</v>
      </c>
      <c r="G253" s="63">
        <f>VLOOKUP(B253,'MEMÓRIA DE CÁLCULO'!B:H,7,)</f>
        <v>3.75</v>
      </c>
      <c r="H253" s="76"/>
      <c r="I253" s="76"/>
      <c r="J253" s="84"/>
      <c r="K253" s="649" t="e">
        <f t="shared" si="3"/>
        <v>#DIV/0!</v>
      </c>
    </row>
    <row r="254" spans="2:11" ht="15" x14ac:dyDescent="0.25">
      <c r="B254" s="81" t="s">
        <v>751</v>
      </c>
      <c r="C254" s="62" t="s">
        <v>1136</v>
      </c>
      <c r="D254" s="62" t="str">
        <f>VLOOKUP(B254,'MEMÓRIA DE CÁLCULO'!B:H,2,)</f>
        <v>COMP. 18</v>
      </c>
      <c r="E254" s="80" t="str">
        <f>VLOOKUP(B254,'MEMÓRIA DE CÁLCULO'!B:H,3,)</f>
        <v>BRISE SOLEIL DE METALON/CHAPA VENEZIANA 1,60x1,60M</v>
      </c>
      <c r="F254" s="63" t="s">
        <v>17</v>
      </c>
      <c r="G254" s="63">
        <f>VLOOKUP(B254,'MEMÓRIA DE CÁLCULO'!B:H,7,)</f>
        <v>42.968749999999993</v>
      </c>
      <c r="H254" s="76"/>
      <c r="I254" s="76"/>
      <c r="J254" s="84"/>
      <c r="K254" s="649" t="e">
        <f t="shared" si="3"/>
        <v>#DIV/0!</v>
      </c>
    </row>
    <row r="255" spans="2:11" ht="15" x14ac:dyDescent="0.25">
      <c r="B255" s="9"/>
      <c r="C255" s="9"/>
      <c r="D255" s="9"/>
      <c r="E255" s="9"/>
      <c r="F255" s="9"/>
      <c r="G255" s="9"/>
      <c r="H255" s="9"/>
      <c r="I255" s="9"/>
      <c r="J255" s="116"/>
      <c r="K255" s="649" t="e">
        <f t="shared" si="3"/>
        <v>#DIV/0!</v>
      </c>
    </row>
    <row r="256" spans="2:11" s="4" customFormat="1" ht="15" x14ac:dyDescent="0.25">
      <c r="B256" s="849" t="s">
        <v>1137</v>
      </c>
      <c r="C256" s="850"/>
      <c r="D256" s="850"/>
      <c r="E256" s="850"/>
      <c r="F256" s="850"/>
      <c r="G256" s="850"/>
      <c r="H256" s="850"/>
      <c r="I256" s="851"/>
      <c r="J256" s="38">
        <f>SUM(J258:J262)</f>
        <v>0</v>
      </c>
      <c r="K256" s="649" t="e">
        <f t="shared" si="3"/>
        <v>#DIV/0!</v>
      </c>
    </row>
    <row r="257" spans="2:12" s="11" customFormat="1" ht="15" x14ac:dyDescent="0.25">
      <c r="B257" s="10">
        <v>15</v>
      </c>
      <c r="C257" s="847" t="s">
        <v>756</v>
      </c>
      <c r="D257" s="847"/>
      <c r="E257" s="847"/>
      <c r="F257" s="847"/>
      <c r="G257" s="847"/>
      <c r="H257" s="847"/>
      <c r="I257" s="847"/>
      <c r="J257" s="848"/>
      <c r="K257" s="649" t="e">
        <f t="shared" si="3"/>
        <v>#DIV/0!</v>
      </c>
    </row>
    <row r="258" spans="2:12" s="11" customFormat="1" ht="15" x14ac:dyDescent="0.25">
      <c r="B258" s="154" t="s">
        <v>757</v>
      </c>
      <c r="C258" s="155" t="s">
        <v>1110</v>
      </c>
      <c r="D258" s="155">
        <f>VLOOKUP(B258,'MEMÓRIA DE CÁLCULO'!B:H,2,)</f>
        <v>201302</v>
      </c>
      <c r="E258" s="80" t="str">
        <f>VLOOKUP(B258,'MEMÓRIA DE CÁLCULO'!B:H,3,)</f>
        <v>REVESTIMENTO COM CERÂMICA</v>
      </c>
      <c r="F258" s="156" t="s">
        <v>17</v>
      </c>
      <c r="G258" s="156">
        <f>VLOOKUP(B258,'MEMÓRIA DE CÁLCULO'!B:H,7,)</f>
        <v>351.28399999999993</v>
      </c>
      <c r="H258" s="157"/>
      <c r="I258" s="157"/>
      <c r="J258" s="158"/>
      <c r="K258" s="649" t="e">
        <f t="shared" si="3"/>
        <v>#DIV/0!</v>
      </c>
      <c r="L258" s="22"/>
    </row>
    <row r="259" spans="2:12" s="11" customFormat="1" ht="15" x14ac:dyDescent="0.25">
      <c r="B259" s="85" t="s">
        <v>777</v>
      </c>
      <c r="C259" s="74" t="s">
        <v>1110</v>
      </c>
      <c r="D259" s="74">
        <f>VLOOKUP(B259,'MEMÓRIA DE CÁLCULO'!B:H,2,)</f>
        <v>200101</v>
      </c>
      <c r="E259" s="65" t="str">
        <f>VLOOKUP(B259,'MEMÓRIA DE CÁLCULO'!B:H,3,)</f>
        <v>CHAPISCO COMUM</v>
      </c>
      <c r="F259" s="77" t="s">
        <v>17</v>
      </c>
      <c r="G259" s="77">
        <f>VLOOKUP(B259,'MEMÓRIA DE CÁLCULO'!B:H,7,)</f>
        <v>1418.2399999999993</v>
      </c>
      <c r="H259" s="78"/>
      <c r="I259" s="78"/>
      <c r="J259" s="86"/>
      <c r="K259" s="649" t="e">
        <f t="shared" si="3"/>
        <v>#DIV/0!</v>
      </c>
      <c r="L259" s="22"/>
    </row>
    <row r="260" spans="2:12" s="11" customFormat="1" ht="15" x14ac:dyDescent="0.25">
      <c r="B260" s="85" t="s">
        <v>785</v>
      </c>
      <c r="C260" s="74" t="s">
        <v>1110</v>
      </c>
      <c r="D260" s="74">
        <f>VLOOKUP(B260,'MEMÓRIA DE CÁLCULO'!B:H,2,)</f>
        <v>200201</v>
      </c>
      <c r="E260" s="65" t="str">
        <f>VLOOKUP(B260,'MEMÓRIA DE CÁLCULO'!B:H,3,)</f>
        <v>EMBOÇO (1CI:4 ARML)</v>
      </c>
      <c r="F260" s="77" t="s">
        <v>17</v>
      </c>
      <c r="G260" s="77">
        <f>VLOOKUP(B260,'MEMÓRIA DE CÁLCULO'!B:H,7,)</f>
        <v>1385.7199999999996</v>
      </c>
      <c r="H260" s="78"/>
      <c r="I260" s="78"/>
      <c r="J260" s="86"/>
      <c r="K260" s="649" t="e">
        <f t="shared" si="3"/>
        <v>#DIV/0!</v>
      </c>
      <c r="L260" s="22"/>
    </row>
    <row r="261" spans="2:12" s="11" customFormat="1" ht="15" x14ac:dyDescent="0.25">
      <c r="B261" s="81" t="s">
        <v>790</v>
      </c>
      <c r="C261" s="62" t="s">
        <v>1110</v>
      </c>
      <c r="D261" s="62">
        <f>VLOOKUP(B261,'MEMÓRIA DE CÁLCULO'!B:H,2,)</f>
        <v>200403</v>
      </c>
      <c r="E261" s="65" t="str">
        <f>VLOOKUP(B261,'MEMÓRIA DE CÁLCULO'!B:H,3,)</f>
        <v>REBOCO (1 CALH:4 ARFC+100kgCI/M3)</v>
      </c>
      <c r="F261" s="63" t="s">
        <v>17</v>
      </c>
      <c r="G261" s="63">
        <f>VLOOKUP(B261,'MEMÓRIA DE CÁLCULO'!B:H,7,)</f>
        <v>1419.9199999999994</v>
      </c>
      <c r="H261" s="76"/>
      <c r="I261" s="76"/>
      <c r="J261" s="84"/>
      <c r="K261" s="649" t="e">
        <f t="shared" si="3"/>
        <v>#DIV/0!</v>
      </c>
      <c r="L261" s="22"/>
    </row>
    <row r="262" spans="2:12" s="11" customFormat="1" ht="28.5" x14ac:dyDescent="0.25">
      <c r="B262" s="81" t="s">
        <v>805</v>
      </c>
      <c r="C262" s="62" t="s">
        <v>1110</v>
      </c>
      <c r="D262" s="62">
        <f>VLOOKUP(B262,'MEMÓRIA DE CÁLCULO'!B:H,2,)</f>
        <v>201410</v>
      </c>
      <c r="E262" s="80" t="str">
        <f>VLOOKUP(B262,'MEMÓRIA DE CÁLCULO'!B:H,3,)</f>
        <v>MOLDURA TIPO "U" INVERTIDO EM ARGAMASSA COM 2CM DE ESPESSURA TIPO PINGADEIRA EM MURO/PLATIBANDA ( A PARTE VERTICAL DESCE 2,5CM)</v>
      </c>
      <c r="F262" s="63" t="s">
        <v>17</v>
      </c>
      <c r="G262" s="63">
        <f>VLOOKUP(B262,'MEMÓRIA DE CÁLCULO'!B:H,7,)</f>
        <v>287.77499999999998</v>
      </c>
      <c r="H262" s="76"/>
      <c r="I262" s="76"/>
      <c r="J262" s="84"/>
      <c r="K262" s="649" t="e">
        <f t="shared" si="3"/>
        <v>#DIV/0!</v>
      </c>
      <c r="L262" s="22"/>
    </row>
    <row r="263" spans="2:12" s="11" customFormat="1" ht="15" x14ac:dyDescent="0.25">
      <c r="B263" s="416"/>
      <c r="C263" s="417"/>
      <c r="D263" s="417"/>
      <c r="E263" s="418"/>
      <c r="F263" s="419"/>
      <c r="G263" s="419"/>
      <c r="H263" s="420"/>
      <c r="I263" s="420"/>
      <c r="J263" s="421"/>
      <c r="K263" s="649" t="e">
        <f t="shared" si="3"/>
        <v>#DIV/0!</v>
      </c>
      <c r="L263" s="22"/>
    </row>
    <row r="264" spans="2:12" s="11" customFormat="1" ht="15" x14ac:dyDescent="0.25">
      <c r="B264" s="849" t="s">
        <v>1138</v>
      </c>
      <c r="C264" s="850"/>
      <c r="D264" s="850"/>
      <c r="E264" s="850"/>
      <c r="F264" s="850"/>
      <c r="G264" s="850"/>
      <c r="H264" s="850"/>
      <c r="I264" s="851"/>
      <c r="J264" s="38">
        <f>SUM(J266:J272)</f>
        <v>0</v>
      </c>
      <c r="K264" s="649" t="e">
        <f t="shared" si="3"/>
        <v>#DIV/0!</v>
      </c>
      <c r="L264" s="22"/>
    </row>
    <row r="265" spans="2:12" s="11" customFormat="1" ht="15" x14ac:dyDescent="0.25">
      <c r="B265" s="10">
        <v>16</v>
      </c>
      <c r="C265" s="847" t="s">
        <v>809</v>
      </c>
      <c r="D265" s="847"/>
      <c r="E265" s="847"/>
      <c r="F265" s="847"/>
      <c r="G265" s="847"/>
      <c r="H265" s="847"/>
      <c r="I265" s="847"/>
      <c r="J265" s="848"/>
      <c r="K265" s="649" t="e">
        <f t="shared" si="3"/>
        <v>#DIV/0!</v>
      </c>
      <c r="L265" s="22"/>
    </row>
    <row r="266" spans="2:12" ht="15" x14ac:dyDescent="0.25">
      <c r="B266" s="154" t="s">
        <v>810</v>
      </c>
      <c r="C266" s="155" t="s">
        <v>1110</v>
      </c>
      <c r="D266" s="155">
        <f>VLOOKUP(B266,'MEMÓRIA DE CÁLCULO'!B:H,2,)</f>
        <v>220104</v>
      </c>
      <c r="E266" s="80" t="str">
        <f>VLOOKUP(B266,'MEMÓRIA DE CÁLCULO'!B:H,3,)</f>
        <v>PISO EM CONCRETO DESEMPENADO ESPESSURA = 7 CM 1:2,5:3,5</v>
      </c>
      <c r="F266" s="156" t="s">
        <v>17</v>
      </c>
      <c r="G266" s="156">
        <f>VLOOKUP(B266,'MEMÓRIA DE CÁLCULO'!B:H,7,)</f>
        <v>545.57250000000022</v>
      </c>
      <c r="H266" s="157"/>
      <c r="I266" s="157"/>
      <c r="J266" s="158"/>
      <c r="K266" s="649" t="e">
        <f t="shared" si="3"/>
        <v>#DIV/0!</v>
      </c>
    </row>
    <row r="267" spans="2:12" s="11" customFormat="1" ht="15" x14ac:dyDescent="0.25">
      <c r="B267" s="154" t="s">
        <v>822</v>
      </c>
      <c r="C267" s="74" t="s">
        <v>1110</v>
      </c>
      <c r="D267" s="74">
        <f>VLOOKUP(B267,'MEMÓRIA DE CÁLCULO'!B:H,2,)</f>
        <v>220311</v>
      </c>
      <c r="E267" s="65" t="str">
        <f>VLOOKUP(B267,'MEMÓRIA DE CÁLCULO'!B:H,3,)</f>
        <v>CERÂMICA ANTIDERRAPANTE PEI MAIOR OU IGUAL A 4 COM CONTRA PISO (1CI:3ARML) E ARGAMASSA COLANTE</v>
      </c>
      <c r="F267" s="77" t="s">
        <v>17</v>
      </c>
      <c r="G267" s="77">
        <f>VLOOKUP(B267,'MEMÓRIA DE CÁLCULO'!B:H,7,)</f>
        <v>278.61649999999997</v>
      </c>
      <c r="H267" s="78"/>
      <c r="I267" s="78"/>
      <c r="J267" s="86"/>
      <c r="K267" s="649" t="e">
        <f t="shared" si="3"/>
        <v>#DIV/0!</v>
      </c>
      <c r="L267" s="22"/>
    </row>
    <row r="268" spans="2:12" s="11" customFormat="1" ht="15" x14ac:dyDescent="0.25">
      <c r="B268" s="154" t="s">
        <v>824</v>
      </c>
      <c r="C268" s="74" t="s">
        <v>1110</v>
      </c>
      <c r="D268" s="74">
        <f>VLOOKUP(B268,'MEMÓRIA DE CÁLCULO'!B:H,2,)</f>
        <v>221101</v>
      </c>
      <c r="E268" s="65" t="str">
        <f>VLOOKUP(B268,'MEMÓRIA DE CÁLCULO'!B:H,3,)</f>
        <v>GRANITINA 8 MM FUNDIDA COM CONTRAPISO (1Cl:3ARML) E = 2 CM E JUNTA PLÁSTICA 27 MM</v>
      </c>
      <c r="F268" s="77" t="s">
        <v>17</v>
      </c>
      <c r="G268" s="77">
        <f>VLOOKUP(B268,'MEMÓRIA DE CÁLCULO'!B:H,7,)</f>
        <v>248.36360000000002</v>
      </c>
      <c r="H268" s="78"/>
      <c r="I268" s="78"/>
      <c r="J268" s="86"/>
      <c r="K268" s="649" t="e">
        <f t="shared" ref="K268:K307" si="4">(J268*100%)/$J$310</f>
        <v>#DIV/0!</v>
      </c>
      <c r="L268" s="22"/>
    </row>
    <row r="269" spans="2:12" s="11" customFormat="1" ht="15" x14ac:dyDescent="0.25">
      <c r="B269" s="154" t="s">
        <v>828</v>
      </c>
      <c r="C269" s="155" t="s">
        <v>1110</v>
      </c>
      <c r="D269" s="155">
        <f>VLOOKUP(B269,'MEMÓRIA DE CÁLCULO'!B:H,2,)</f>
        <v>220920</v>
      </c>
      <c r="E269" s="80" t="str">
        <f>VLOOKUP(B269,'MEMÓRIA DE CÁLCULO'!B:H,3,)</f>
        <v>SOLEIRA EM GRANITO IMPERMEABILIZADA COM CONTRAPISO (1CI:3ARML)</v>
      </c>
      <c r="F269" s="156" t="s">
        <v>17</v>
      </c>
      <c r="G269" s="156">
        <f>VLOOKUP(B269,'MEMÓRIA DE CÁLCULO'!B:H,7,)</f>
        <v>3.4049999999999998</v>
      </c>
      <c r="H269" s="157"/>
      <c r="I269" s="157"/>
      <c r="J269" s="158"/>
      <c r="K269" s="649" t="e">
        <f t="shared" si="4"/>
        <v>#DIV/0!</v>
      </c>
      <c r="L269" s="22"/>
    </row>
    <row r="270" spans="2:12" s="11" customFormat="1" ht="15" x14ac:dyDescent="0.25">
      <c r="B270" s="154" t="s">
        <v>832</v>
      </c>
      <c r="C270" s="155" t="s">
        <v>1110</v>
      </c>
      <c r="D270" s="155">
        <f>VLOOKUP(B270,'MEMÓRIA DE CÁLCULO'!B:H,2,)</f>
        <v>220312</v>
      </c>
      <c r="E270" s="80" t="str">
        <f>VLOOKUP(B270,'MEMÓRIA DE CÁLCULO'!B:H,3,)</f>
        <v>RODAPÉ DE CERÂMICA ANTIDERRAPANTE COM ARGAMASSA COLANTE</v>
      </c>
      <c r="F270" s="156" t="s">
        <v>17</v>
      </c>
      <c r="G270" s="156">
        <f>VLOOKUP(B270,'MEMÓRIA DE CÁLCULO'!B:H,7,)</f>
        <v>115.81</v>
      </c>
      <c r="H270" s="157"/>
      <c r="I270" s="157"/>
      <c r="J270" s="158"/>
      <c r="K270" s="649" t="e">
        <f t="shared" si="4"/>
        <v>#DIV/0!</v>
      </c>
      <c r="L270" s="22"/>
    </row>
    <row r="271" spans="2:12" s="11" customFormat="1" ht="15" x14ac:dyDescent="0.25">
      <c r="B271" s="154" t="s">
        <v>840</v>
      </c>
      <c r="C271" s="74" t="s">
        <v>1110</v>
      </c>
      <c r="D271" s="74">
        <f>VLOOKUP(B271,'MEMÓRIA DE CÁLCULO'!B:H,2,)</f>
        <v>221102</v>
      </c>
      <c r="E271" s="65" t="str">
        <f>VLOOKUP(B271,'MEMÓRIA DE CÁLCULO'!B:H,3,)</f>
        <v>RODAPÉ FUNDIDO DE GRANITINA 7CM</v>
      </c>
      <c r="F271" s="77" t="s">
        <v>17</v>
      </c>
      <c r="G271" s="77">
        <f>VLOOKUP(B271,'MEMÓRIA DE CÁLCULO'!B:H,7,)</f>
        <v>160.5</v>
      </c>
      <c r="H271" s="78"/>
      <c r="I271" s="78"/>
      <c r="J271" s="86"/>
      <c r="K271" s="649" t="e">
        <f t="shared" si="4"/>
        <v>#DIV/0!</v>
      </c>
      <c r="L271" s="22"/>
    </row>
    <row r="272" spans="2:12" s="11" customFormat="1" ht="15" x14ac:dyDescent="0.25">
      <c r="B272" s="154" t="s">
        <v>843</v>
      </c>
      <c r="C272" s="74" t="s">
        <v>1110</v>
      </c>
      <c r="D272" s="74">
        <f>VLOOKUP(B272,'MEMÓRIA DE CÁLCULO'!B:H,2,)</f>
        <v>221126</v>
      </c>
      <c r="E272" s="65" t="str">
        <f>VLOOKUP(B272,'MEMÓRIA DE CÁLCULO'!B:H,3,)</f>
        <v>PISO DE LADRILHO HIDRÁULICO COLORIDO MODELO TÁTIL ( ALERTA OU DIRECIONAL) SEM LASTRO</v>
      </c>
      <c r="F272" s="77" t="s">
        <v>17</v>
      </c>
      <c r="G272" s="77">
        <f>VLOOKUP(B272,'MEMÓRIA DE CÁLCULO'!B:H,7,)</f>
        <v>8.91</v>
      </c>
      <c r="H272" s="78"/>
      <c r="I272" s="78"/>
      <c r="J272" s="86"/>
      <c r="K272" s="649" t="e">
        <f t="shared" si="4"/>
        <v>#DIV/0!</v>
      </c>
      <c r="L272" s="22"/>
    </row>
    <row r="273" spans="2:12" s="11" customFormat="1" ht="15" x14ac:dyDescent="0.25">
      <c r="B273" s="104"/>
      <c r="C273" s="256"/>
      <c r="D273" s="257"/>
      <c r="E273" s="105"/>
      <c r="F273" s="1"/>
      <c r="G273" s="1"/>
      <c r="H273" s="258"/>
      <c r="I273" s="258"/>
      <c r="J273" s="106"/>
      <c r="K273" s="649" t="e">
        <f t="shared" si="4"/>
        <v>#DIV/0!</v>
      </c>
      <c r="L273" s="22"/>
    </row>
    <row r="274" spans="2:12" s="4" customFormat="1" ht="15" x14ac:dyDescent="0.25">
      <c r="B274" s="849" t="s">
        <v>847</v>
      </c>
      <c r="C274" s="850"/>
      <c r="D274" s="850"/>
      <c r="E274" s="850"/>
      <c r="F274" s="850"/>
      <c r="G274" s="850"/>
      <c r="H274" s="850"/>
      <c r="I274" s="851"/>
      <c r="J274" s="38">
        <f>SUM(J276:J278)</f>
        <v>0</v>
      </c>
      <c r="K274" s="649" t="e">
        <f t="shared" si="4"/>
        <v>#DIV/0!</v>
      </c>
    </row>
    <row r="275" spans="2:12" s="11" customFormat="1" ht="15" x14ac:dyDescent="0.25">
      <c r="B275" s="10">
        <v>17</v>
      </c>
      <c r="C275" s="847" t="s">
        <v>848</v>
      </c>
      <c r="D275" s="847"/>
      <c r="E275" s="847"/>
      <c r="F275" s="847"/>
      <c r="G275" s="847"/>
      <c r="H275" s="847"/>
      <c r="I275" s="847"/>
      <c r="J275" s="848"/>
      <c r="K275" s="649" t="e">
        <f t="shared" si="4"/>
        <v>#DIV/0!</v>
      </c>
    </row>
    <row r="276" spans="2:12" ht="15" x14ac:dyDescent="0.25">
      <c r="B276" s="154" t="s">
        <v>849</v>
      </c>
      <c r="C276" s="155" t="s">
        <v>1110</v>
      </c>
      <c r="D276" s="155">
        <f>VLOOKUP(B276,'MEMÓRIA DE CÁLCULO'!B:H,2,)</f>
        <v>230101</v>
      </c>
      <c r="E276" s="80" t="str">
        <f>VLOOKUP(B276,'MEMÓRIA DE CÁLCULO'!B:H,3,)</f>
        <v>FECH.(ALAV.) LAFONTE 6236 E/8766- E17 IMAB OU EQUIV</v>
      </c>
      <c r="F276" s="156" t="s">
        <v>67</v>
      </c>
      <c r="G276" s="156">
        <f>VLOOKUP(B276,'MEMÓRIA DE CÁLCULO'!B:H,7,)</f>
        <v>17</v>
      </c>
      <c r="H276" s="157"/>
      <c r="I276" s="157"/>
      <c r="J276" s="158"/>
      <c r="K276" s="649" t="e">
        <f t="shared" si="4"/>
        <v>#DIV/0!</v>
      </c>
      <c r="L276" s="22"/>
    </row>
    <row r="277" spans="2:12" ht="15" x14ac:dyDescent="0.25">
      <c r="B277" s="85" t="s">
        <v>851</v>
      </c>
      <c r="C277" s="74" t="s">
        <v>1110</v>
      </c>
      <c r="D277" s="74">
        <f>VLOOKUP(B277,'MEMÓRIA DE CÁLCULO'!B:H,2,)</f>
        <v>230201</v>
      </c>
      <c r="E277" s="80" t="str">
        <f>VLOOKUP(B277,'MEMÓRIA DE CÁLCULO'!B:H,3,)</f>
        <v>DOBRADIÇA 3" x 3 1/2" FERRO POLIDO</v>
      </c>
      <c r="F277" s="77" t="s">
        <v>67</v>
      </c>
      <c r="G277" s="77">
        <f>VLOOKUP(B277,'MEMÓRIA DE CÁLCULO'!B:H,7,)</f>
        <v>60</v>
      </c>
      <c r="H277" s="78"/>
      <c r="I277" s="78"/>
      <c r="J277" s="86"/>
      <c r="K277" s="649" t="e">
        <f t="shared" si="4"/>
        <v>#DIV/0!</v>
      </c>
      <c r="L277" s="22"/>
    </row>
    <row r="278" spans="2:12" ht="15" x14ac:dyDescent="0.25">
      <c r="B278" s="85" t="s">
        <v>855</v>
      </c>
      <c r="C278" s="74" t="s">
        <v>1110</v>
      </c>
      <c r="D278" s="74">
        <f>VLOOKUP(B278,'MEMÓRIA DE CÁLCULO'!B:H,2,)</f>
        <v>230176</v>
      </c>
      <c r="E278" s="80" t="str">
        <f>VLOOKUP(B278,'MEMÓRIA DE CÁLCULO'!B:H,3,)</f>
        <v>BARRA DE APOIO EM AÇO INOX - 80 CM</v>
      </c>
      <c r="F278" s="77" t="s">
        <v>67</v>
      </c>
      <c r="G278" s="77">
        <f>VLOOKUP(B278,'MEMÓRIA DE CÁLCULO'!B:H,7,)</f>
        <v>4</v>
      </c>
      <c r="H278" s="78"/>
      <c r="I278" s="78"/>
      <c r="J278" s="86"/>
      <c r="K278" s="649" t="e">
        <f t="shared" si="4"/>
        <v>#DIV/0!</v>
      </c>
      <c r="L278" s="22"/>
    </row>
    <row r="279" spans="2:12" ht="15" x14ac:dyDescent="0.25">
      <c r="B279" s="14"/>
      <c r="D279" s="4"/>
      <c r="E279" s="4"/>
      <c r="F279" s="4"/>
      <c r="G279" s="4"/>
      <c r="H279" s="4"/>
      <c r="I279" s="4"/>
      <c r="J279" s="125"/>
      <c r="K279" s="649" t="e">
        <f t="shared" si="4"/>
        <v>#DIV/0!</v>
      </c>
    </row>
    <row r="280" spans="2:12" ht="15" x14ac:dyDescent="0.25">
      <c r="B280" s="858" t="s">
        <v>857</v>
      </c>
      <c r="C280" s="859"/>
      <c r="D280" s="859"/>
      <c r="E280" s="859"/>
      <c r="F280" s="859"/>
      <c r="G280" s="859"/>
      <c r="H280" s="859"/>
      <c r="I280" s="859"/>
      <c r="J280" s="39">
        <f>SUM(J282:J284)</f>
        <v>0</v>
      </c>
      <c r="K280" s="649" t="e">
        <f t="shared" si="4"/>
        <v>#DIV/0!</v>
      </c>
    </row>
    <row r="281" spans="2:12" ht="15" x14ac:dyDescent="0.25">
      <c r="B281" s="10">
        <v>18</v>
      </c>
      <c r="C281" s="868" t="s">
        <v>858</v>
      </c>
      <c r="D281" s="852"/>
      <c r="E281" s="852"/>
      <c r="F281" s="852"/>
      <c r="G281" s="852"/>
      <c r="H281" s="852"/>
      <c r="I281" s="852"/>
      <c r="J281" s="853"/>
      <c r="K281" s="649" t="e">
        <f t="shared" si="4"/>
        <v>#DIV/0!</v>
      </c>
    </row>
    <row r="282" spans="2:12" ht="15" x14ac:dyDescent="0.25">
      <c r="B282" s="147" t="s">
        <v>859</v>
      </c>
      <c r="C282" s="148" t="s">
        <v>1110</v>
      </c>
      <c r="D282" s="148">
        <f>VLOOKUP(B282,'MEMÓRIA DE CÁLCULO'!B:H,2,)</f>
        <v>250101</v>
      </c>
      <c r="E282" s="181" t="str">
        <f>VLOOKUP(B282,'MEMÓRIA DE CÁLCULO'!B:H,3,)</f>
        <v>ENGENHEIRO - (OBRAS CIVIS)</v>
      </c>
      <c r="F282" s="150" t="s">
        <v>67</v>
      </c>
      <c r="G282" s="150">
        <f>VLOOKUP(B282,'MEMÓRIA DE CÁLCULO'!B:H,7,)</f>
        <v>1000</v>
      </c>
      <c r="H282" s="182"/>
      <c r="I282" s="182"/>
      <c r="J282" s="183"/>
      <c r="K282" s="649" t="e">
        <f t="shared" si="4"/>
        <v>#DIV/0!</v>
      </c>
    </row>
    <row r="283" spans="2:12" ht="15" x14ac:dyDescent="0.25">
      <c r="B283" s="81" t="s">
        <v>865</v>
      </c>
      <c r="C283" s="62" t="s">
        <v>1110</v>
      </c>
      <c r="D283" s="62">
        <f>VLOOKUP(B283,'MEMÓRIA DE CÁLCULO'!B:H,2,)</f>
        <v>250103</v>
      </c>
      <c r="E283" s="80" t="str">
        <f>VLOOKUP(B283,'MEMÓRIA DE CÁLCULO'!B:H,3,)</f>
        <v>ENCARREGADO - (OBRAS CIVIS)</v>
      </c>
      <c r="F283" s="63" t="s">
        <v>67</v>
      </c>
      <c r="G283" s="63">
        <f>VLOOKUP(B283,'MEMÓRIA DE CÁLCULO'!B:H,7,)</f>
        <v>1600</v>
      </c>
      <c r="H283" s="79"/>
      <c r="I283" s="79"/>
      <c r="J283" s="88"/>
      <c r="K283" s="649" t="e">
        <f t="shared" si="4"/>
        <v>#DIV/0!</v>
      </c>
    </row>
    <row r="284" spans="2:12" ht="15" x14ac:dyDescent="0.25">
      <c r="B284" s="81" t="s">
        <v>868</v>
      </c>
      <c r="C284" s="62" t="s">
        <v>1110</v>
      </c>
      <c r="D284" s="62">
        <f>VLOOKUP(B284,'MEMÓRIA DE CÁLCULO'!B:H,2,)</f>
        <v>250110</v>
      </c>
      <c r="E284" s="80" t="str">
        <f>VLOOKUP(B284,'MEMÓRIA DE CÁLCULO'!B:H,3,)</f>
        <v>VIGIA DE OBRAS - (NOTURNO E NO SÁBADO/DOMINGO DIURNO) - O.C.</v>
      </c>
      <c r="F284" s="63" t="s">
        <v>67</v>
      </c>
      <c r="G284" s="63">
        <f>VLOOKUP(B284,'MEMÓRIA DE CÁLCULO'!B:H,7,)</f>
        <v>3600</v>
      </c>
      <c r="H284" s="79"/>
      <c r="I284" s="79"/>
      <c r="J284" s="88"/>
      <c r="K284" s="649" t="e">
        <f t="shared" si="4"/>
        <v>#DIV/0!</v>
      </c>
    </row>
    <row r="285" spans="2:12" ht="15" x14ac:dyDescent="0.25">
      <c r="B285" s="14"/>
      <c r="D285" s="160"/>
      <c r="E285" s="160"/>
      <c r="F285" s="160"/>
      <c r="G285" s="160"/>
      <c r="H285" s="160"/>
      <c r="I285" s="160"/>
      <c r="J285" s="161"/>
      <c r="K285" s="649" t="e">
        <f t="shared" si="4"/>
        <v>#DIV/0!</v>
      </c>
    </row>
    <row r="286" spans="2:12" ht="15" x14ac:dyDescent="0.25">
      <c r="B286" s="849" t="s">
        <v>871</v>
      </c>
      <c r="C286" s="850"/>
      <c r="D286" s="850"/>
      <c r="E286" s="850"/>
      <c r="F286" s="850"/>
      <c r="G286" s="850"/>
      <c r="H286" s="850"/>
      <c r="I286" s="850"/>
      <c r="J286" s="39">
        <f>SUM(J288:J294)</f>
        <v>0</v>
      </c>
      <c r="K286" s="649" t="e">
        <f t="shared" si="4"/>
        <v>#DIV/0!</v>
      </c>
      <c r="L286" s="21"/>
    </row>
    <row r="287" spans="2:12" ht="15" x14ac:dyDescent="0.25">
      <c r="B287" s="10">
        <v>19</v>
      </c>
      <c r="C287" s="868" t="s">
        <v>872</v>
      </c>
      <c r="D287" s="852"/>
      <c r="E287" s="852"/>
      <c r="F287" s="852"/>
      <c r="G287" s="852"/>
      <c r="H287" s="852"/>
      <c r="I287" s="852"/>
      <c r="J287" s="853"/>
      <c r="K287" s="649" t="e">
        <f t="shared" si="4"/>
        <v>#DIV/0!</v>
      </c>
    </row>
    <row r="288" spans="2:12" ht="15" x14ac:dyDescent="0.25">
      <c r="B288" s="147" t="s">
        <v>873</v>
      </c>
      <c r="C288" s="148" t="s">
        <v>1110</v>
      </c>
      <c r="D288" s="148">
        <f>VLOOKUP(B288,'MEMÓRIA DE CÁLCULO'!B:H,2,)</f>
        <v>261300</v>
      </c>
      <c r="E288" s="181" t="str">
        <f>VLOOKUP(B288,'MEMÓRIA DE CÁLCULO'!B:H,3,)</f>
        <v>EMASSAMENTO COM MASSA PVA DUAS DEMÃOS</v>
      </c>
      <c r="F288" s="148" t="s">
        <v>861</v>
      </c>
      <c r="G288" s="150">
        <f>VLOOKUP(B288,'MEMÓRIA DE CÁLCULO'!B:H,7,)</f>
        <v>4060.6025000000009</v>
      </c>
      <c r="H288" s="182"/>
      <c r="I288" s="182"/>
      <c r="J288" s="184"/>
      <c r="K288" s="649" t="e">
        <f t="shared" si="4"/>
        <v>#DIV/0!</v>
      </c>
    </row>
    <row r="289" spans="2:11" ht="15" x14ac:dyDescent="0.25">
      <c r="B289" s="147" t="s">
        <v>881</v>
      </c>
      <c r="C289" s="148" t="s">
        <v>1110</v>
      </c>
      <c r="D289" s="148">
        <f>VLOOKUP(B289,'MEMÓRIA DE CÁLCULO'!B:H,2,)</f>
        <v>261550</v>
      </c>
      <c r="E289" s="181" t="str">
        <f>VLOOKUP(B289,'MEMÓRIA DE CÁLCULO'!B:H,3,)</f>
        <v>PINT.ESMALTE SINT.PAREDES - 2 DEM.C/SELADOR</v>
      </c>
      <c r="F289" s="148" t="s">
        <v>861</v>
      </c>
      <c r="G289" s="150">
        <f>VLOOKUP(B289,'MEMÓRIA DE CÁLCULO'!B:H,7,)</f>
        <v>414.30200000000019</v>
      </c>
      <c r="H289" s="182"/>
      <c r="I289" s="182"/>
      <c r="J289" s="184"/>
      <c r="K289" s="649" t="e">
        <f t="shared" si="4"/>
        <v>#DIV/0!</v>
      </c>
    </row>
    <row r="290" spans="2:11" ht="15" x14ac:dyDescent="0.25">
      <c r="B290" s="147" t="s">
        <v>931</v>
      </c>
      <c r="C290" s="148" t="s">
        <v>1110</v>
      </c>
      <c r="D290" s="148">
        <f>VLOOKUP(B290,'MEMÓRIA DE CÁLCULO'!B:H,2,)</f>
        <v>261001</v>
      </c>
      <c r="E290" s="181" t="str">
        <f>VLOOKUP(B290,'MEMÓRIA DE CÁLCULO'!B:H,3,)</f>
        <v>PINTURA LATÉX ACRÍLICO 2 DEMÃOS</v>
      </c>
      <c r="F290" s="148" t="s">
        <v>861</v>
      </c>
      <c r="G290" s="150">
        <f>VLOOKUP(B290,'MEMÓRIA DE CÁLCULO'!B:H,7,)</f>
        <v>2870.1859999999997</v>
      </c>
      <c r="H290" s="182"/>
      <c r="I290" s="182"/>
      <c r="J290" s="184"/>
      <c r="K290" s="649" t="e">
        <f t="shared" si="4"/>
        <v>#DIV/0!</v>
      </c>
    </row>
    <row r="291" spans="2:11" ht="15" x14ac:dyDescent="0.25">
      <c r="B291" s="147" t="s">
        <v>1006</v>
      </c>
      <c r="C291" s="148" t="s">
        <v>1111</v>
      </c>
      <c r="D291" s="148" t="str">
        <f>VLOOKUP(B291,'MEMÓRIA DE CÁLCULO'!B:H,2,)</f>
        <v>SINAPI 102496</v>
      </c>
      <c r="E291" s="181" t="str">
        <f>VLOOKUP(B291,'MEMÓRIA DE CÁLCULO'!B:H,3,)</f>
        <v>PINTURA DE RODAPÉ COM TINTA EPÓXI, APLICAÇÃO MANUAL, 2 DEMÃOS, INCLUSÃO PRIMER EPÓXI</v>
      </c>
      <c r="F291" s="148" t="s">
        <v>861</v>
      </c>
      <c r="G291" s="150">
        <f>VLOOKUP(B291,'MEMÓRIA DE CÁLCULO'!B:H,7,)</f>
        <v>30.836999999999996</v>
      </c>
      <c r="H291" s="182"/>
      <c r="I291" s="182"/>
      <c r="J291" s="184"/>
      <c r="K291" s="649" t="e">
        <f t="shared" si="4"/>
        <v>#DIV/0!</v>
      </c>
    </row>
    <row r="292" spans="2:11" ht="15" x14ac:dyDescent="0.25">
      <c r="B292" s="147" t="s">
        <v>1024</v>
      </c>
      <c r="C292" s="148" t="s">
        <v>1110</v>
      </c>
      <c r="D292" s="148">
        <f>VLOOKUP(B292,'MEMÓRIA DE CÁLCULO'!B:H,2,)</f>
        <v>261703</v>
      </c>
      <c r="E292" s="181" t="str">
        <f>VLOOKUP(B292,'MEMÓRIA DE CÁLCULO'!B:H,3,)</f>
        <v>PINT.POLIESPORTIVA - 2 DEM.(PISOS E CIMENTADOS)</v>
      </c>
      <c r="F292" s="148" t="s">
        <v>861</v>
      </c>
      <c r="G292" s="150">
        <f>VLOOKUP(B292,'MEMÓRIA DE CÁLCULO'!B:H,7,)</f>
        <v>189.28120000000001</v>
      </c>
      <c r="H292" s="182"/>
      <c r="I292" s="182"/>
      <c r="J292" s="184"/>
      <c r="K292" s="649" t="e">
        <f t="shared" si="4"/>
        <v>#DIV/0!</v>
      </c>
    </row>
    <row r="293" spans="2:11" ht="15" x14ac:dyDescent="0.25">
      <c r="B293" s="147" t="s">
        <v>1027</v>
      </c>
      <c r="C293" s="148" t="s">
        <v>1110</v>
      </c>
      <c r="D293" s="148">
        <f>VLOOKUP(B293,'MEMÓRIA DE CÁLCULO'!B:H,2,)</f>
        <v>261008</v>
      </c>
      <c r="E293" s="181" t="str">
        <f>VLOOKUP(B293,'MEMÓRIA DE CÁLCULO'!B:H,3,)</f>
        <v>FUNDO ANTICORROSIVO PARA ESQUADRIAS METÁLICAS</v>
      </c>
      <c r="F293" s="148" t="s">
        <v>861</v>
      </c>
      <c r="G293" s="150">
        <f>VLOOKUP(B293,'MEMÓRIA DE CÁLCULO'!B:H,7,)</f>
        <v>442.06880000000001</v>
      </c>
      <c r="H293" s="182"/>
      <c r="I293" s="182"/>
      <c r="J293" s="184"/>
      <c r="K293" s="649" t="e">
        <f t="shared" si="4"/>
        <v>#DIV/0!</v>
      </c>
    </row>
    <row r="294" spans="2:11" ht="15" x14ac:dyDescent="0.25">
      <c r="B294" s="147" t="s">
        <v>1039</v>
      </c>
      <c r="C294" s="148" t="s">
        <v>1110</v>
      </c>
      <c r="D294" s="148">
        <f>VLOOKUP(B294,'MEMÓRIA DE CÁLCULO'!B:H,2,)</f>
        <v>261502</v>
      </c>
      <c r="E294" s="181" t="str">
        <f>VLOOKUP(B294,'MEMÓRIA DE CÁLCULO'!B:H,3,)</f>
        <v>PINT.ESMALTE S/ ANTICOR 2 DEMAOS</v>
      </c>
      <c r="F294" s="148" t="s">
        <v>861</v>
      </c>
      <c r="G294" s="150">
        <f>VLOOKUP(B294,'MEMÓRIA DE CÁLCULO'!B:H,7,)</f>
        <v>442.06880000000001</v>
      </c>
      <c r="H294" s="182"/>
      <c r="I294" s="182"/>
      <c r="J294" s="184"/>
      <c r="K294" s="649" t="e">
        <f t="shared" si="4"/>
        <v>#DIV/0!</v>
      </c>
    </row>
    <row r="295" spans="2:11" ht="15" x14ac:dyDescent="0.25">
      <c r="B295" s="867"/>
      <c r="C295" s="863"/>
      <c r="D295" s="863"/>
      <c r="E295" s="863"/>
      <c r="F295" s="863"/>
      <c r="G295" s="863"/>
      <c r="H295" s="863"/>
      <c r="I295" s="863"/>
      <c r="J295" s="864"/>
      <c r="K295" s="649" t="e">
        <f t="shared" si="4"/>
        <v>#DIV/0!</v>
      </c>
    </row>
    <row r="296" spans="2:11" ht="15" x14ac:dyDescent="0.25">
      <c r="B296" s="849" t="s">
        <v>1042</v>
      </c>
      <c r="C296" s="850"/>
      <c r="D296" s="850"/>
      <c r="E296" s="850"/>
      <c r="F296" s="850"/>
      <c r="G296" s="850"/>
      <c r="H296" s="850"/>
      <c r="I296" s="850"/>
      <c r="J296" s="39">
        <f>SUM(J298:J307)</f>
        <v>0</v>
      </c>
      <c r="K296" s="649" t="e">
        <f t="shared" si="4"/>
        <v>#DIV/0!</v>
      </c>
    </row>
    <row r="297" spans="2:11" ht="15" x14ac:dyDescent="0.25">
      <c r="B297" s="10">
        <v>20</v>
      </c>
      <c r="C297" s="868" t="s">
        <v>1043</v>
      </c>
      <c r="D297" s="852"/>
      <c r="E297" s="852"/>
      <c r="F297" s="852"/>
      <c r="G297" s="852"/>
      <c r="H297" s="852"/>
      <c r="I297" s="852"/>
      <c r="J297" s="853"/>
      <c r="K297" s="649" t="e">
        <f t="shared" si="4"/>
        <v>#DIV/0!</v>
      </c>
    </row>
    <row r="298" spans="2:11" ht="18" customHeight="1" x14ac:dyDescent="0.25">
      <c r="B298" s="147" t="s">
        <v>1044</v>
      </c>
      <c r="C298" s="148" t="s">
        <v>1110</v>
      </c>
      <c r="D298" s="148">
        <f>VLOOKUP(B298,'MEMÓRIA DE CÁLCULO'!B:H,2,)</f>
        <v>270210</v>
      </c>
      <c r="E298" s="175" t="str">
        <f>VLOOKUP(B298,'MEMÓRIA DE CÁLCULO'!B:H,3,)</f>
        <v xml:space="preserve">PLANTIO GRAMA ESMERALDA PLACA C/ M.O. IRRIG., ADUBO,TERRA VEGETAL (O.C.) A&lt;11.000,00M2
</v>
      </c>
      <c r="F298" s="150" t="s">
        <v>17</v>
      </c>
      <c r="G298" s="150">
        <f>VLOOKUP(B298,'MEMÓRIA DE CÁLCULO'!B:H,7,)</f>
        <v>157</v>
      </c>
      <c r="H298" s="182"/>
      <c r="I298" s="182"/>
      <c r="J298" s="184"/>
      <c r="K298" s="649" t="e">
        <f t="shared" si="4"/>
        <v>#DIV/0!</v>
      </c>
    </row>
    <row r="299" spans="2:11" ht="15" x14ac:dyDescent="0.25">
      <c r="B299" s="81" t="s">
        <v>1048</v>
      </c>
      <c r="C299" s="62" t="s">
        <v>1110</v>
      </c>
      <c r="D299" s="62">
        <f>VLOOKUP(B299,'MEMÓRIA DE CÁLCULO'!B:H,2,)</f>
        <v>270501</v>
      </c>
      <c r="E299" s="80" t="str">
        <f>VLOOKUP(B299,'MEMÓRIA DE CÁLCULO'!B:H,3,)</f>
        <v>LIMPEZA FINAL DE OBRA - (OBRAS CIVIS)</v>
      </c>
      <c r="F299" s="63" t="s">
        <v>17</v>
      </c>
      <c r="G299" s="63">
        <f>VLOOKUP(B299,'MEMÓRIA DE CÁLCULO'!B:H,7,)</f>
        <v>1667.51</v>
      </c>
      <c r="H299" s="79"/>
      <c r="I299" s="79"/>
      <c r="J299" s="87"/>
      <c r="K299" s="649" t="e">
        <f t="shared" si="4"/>
        <v>#DIV/0!</v>
      </c>
    </row>
    <row r="300" spans="2:11" ht="15" x14ac:dyDescent="0.25">
      <c r="B300" s="81" t="s">
        <v>1051</v>
      </c>
      <c r="C300" s="62" t="s">
        <v>1110</v>
      </c>
      <c r="D300" s="62">
        <f>VLOOKUP(B300,'MEMÓRIA DE CÁLCULO'!B:H,2,)</f>
        <v>270810</v>
      </c>
      <c r="E300" s="80" t="str">
        <f>VLOOKUP(B300,'MEMÓRIA DE CÁLCULO'!B:H,3,)</f>
        <v>PLACA DE INAUGURAÇÃO AÇO ESCOVADO 80 X 60 CM</v>
      </c>
      <c r="F300" s="63" t="s">
        <v>67</v>
      </c>
      <c r="G300" s="63">
        <f>VLOOKUP(B300,'MEMÓRIA DE CÁLCULO'!B:H,7,)</f>
        <v>1</v>
      </c>
      <c r="H300" s="79"/>
      <c r="I300" s="79"/>
      <c r="J300" s="87"/>
      <c r="K300" s="649" t="e">
        <f t="shared" si="4"/>
        <v>#DIV/0!</v>
      </c>
    </row>
    <row r="301" spans="2:11" ht="15" x14ac:dyDescent="0.25">
      <c r="B301" s="81" t="s">
        <v>1055</v>
      </c>
      <c r="C301" s="62" t="s">
        <v>1110</v>
      </c>
      <c r="D301" s="62" t="str">
        <f>VLOOKUP(B301,'MEMÓRIA DE CÁLCULO'!B:H,2,)</f>
        <v>COMPOSIÇÃO 7</v>
      </c>
      <c r="E301" s="80" t="str">
        <f>VLOOKUP(B301,'MEMÓRIA DE CÁLCULO'!B:H,3,)</f>
        <v>ESPELHO 40X50 CM</v>
      </c>
      <c r="F301" s="63" t="s">
        <v>17</v>
      </c>
      <c r="G301" s="63">
        <f>VLOOKUP(B301,'MEMÓRIA DE CÁLCULO'!B:H,7,)</f>
        <v>2.8800000000000008</v>
      </c>
      <c r="H301" s="79"/>
      <c r="I301" s="79"/>
      <c r="J301" s="87"/>
      <c r="K301" s="649" t="e">
        <f t="shared" si="4"/>
        <v>#DIV/0!</v>
      </c>
    </row>
    <row r="302" spans="2:11" ht="15" x14ac:dyDescent="0.25">
      <c r="B302" s="81" t="s">
        <v>1063</v>
      </c>
      <c r="C302" s="62" t="s">
        <v>1110</v>
      </c>
      <c r="D302" s="62">
        <f>VLOOKUP(B302,'MEMÓRIA DE CÁLCULO'!B:H,2,)</f>
        <v>271303</v>
      </c>
      <c r="E302" s="80" t="str">
        <f>VLOOKUP(B302,'MEMÓRIA DE CÁLCULO'!B:H,3,)</f>
        <v>BANCO DE CONCRETO POLIDO BASE EM ALVENARIA REBOCADA E PINTADA - PADRÃO GOINFRA</v>
      </c>
      <c r="F302" s="63" t="s">
        <v>1139</v>
      </c>
      <c r="G302" s="63">
        <f>VLOOKUP(B302,'MEMÓRIA DE CÁLCULO'!B:H,7,)</f>
        <v>20</v>
      </c>
      <c r="H302" s="79"/>
      <c r="I302" s="79"/>
      <c r="J302" s="87"/>
      <c r="K302" s="649" t="e">
        <f t="shared" si="4"/>
        <v>#DIV/0!</v>
      </c>
    </row>
    <row r="303" spans="2:11" ht="15" x14ac:dyDescent="0.25">
      <c r="B303" s="81" t="s">
        <v>1067</v>
      </c>
      <c r="C303" s="62" t="s">
        <v>1111</v>
      </c>
      <c r="D303" s="62" t="str">
        <f>VLOOKUP(B303,'MEMÓRIA DE CÁLCULO'!B:H,2,)</f>
        <v>COMPOSIÇÃO 10</v>
      </c>
      <c r="E303" s="80" t="str">
        <f>VLOOKUP(B303,'MEMÓRIA DE CÁLCULO'!B:H,3,)</f>
        <v>BANCADA EM GRANITO INSTALADA</v>
      </c>
      <c r="F303" s="63" t="s">
        <v>17</v>
      </c>
      <c r="G303" s="63">
        <f>VLOOKUP(B303,'MEMÓRIA DE CÁLCULO'!B:H,7,)</f>
        <v>45.168999999999997</v>
      </c>
      <c r="H303" s="79"/>
      <c r="I303" s="79"/>
      <c r="J303" s="87"/>
      <c r="K303" s="649" t="e">
        <f t="shared" si="4"/>
        <v>#DIV/0!</v>
      </c>
    </row>
    <row r="304" spans="2:11" ht="15" x14ac:dyDescent="0.25">
      <c r="B304" s="81" t="s">
        <v>1075</v>
      </c>
      <c r="C304" s="62" t="s">
        <v>1111</v>
      </c>
      <c r="D304" s="62" t="str">
        <f>VLOOKUP(B304,'MEMÓRIA DE CÁLCULO'!B:H,2,)</f>
        <v>SINAPI 101965</v>
      </c>
      <c r="E304" s="80" t="str">
        <f>VLOOKUP(B304,'MEMÓRIA DE CÁLCULO'!B:H,3,)</f>
        <v>PEITORIL DE MÁMORE / GRANITO</v>
      </c>
      <c r="F304" s="63" t="s">
        <v>1139</v>
      </c>
      <c r="G304" s="63">
        <f>VLOOKUP(B304,'MEMÓRIA DE CÁLCULO'!B:H,7,)</f>
        <v>41.4</v>
      </c>
      <c r="H304" s="79"/>
      <c r="I304" s="79"/>
      <c r="J304" s="87"/>
      <c r="K304" s="649" t="e">
        <f t="shared" si="4"/>
        <v>#DIV/0!</v>
      </c>
    </row>
    <row r="305" spans="2:11" ht="15" x14ac:dyDescent="0.25">
      <c r="B305" s="81" t="s">
        <v>1089</v>
      </c>
      <c r="C305" s="62" t="s">
        <v>1110</v>
      </c>
      <c r="D305" s="62">
        <f>VLOOKUP(B305,'MEMÓRIA DE CÁLCULO'!B:H,2,)</f>
        <v>20600</v>
      </c>
      <c r="E305" s="80" t="str">
        <f>VLOOKUP(B305,'MEMÓRIA DE CÁLCULO'!B:H,3,)</f>
        <v>TAPUME EM CHAPA COMPENSADA RESINADA 6MM COM PORTÕES E FERRAGENS</v>
      </c>
      <c r="F305" s="63" t="s">
        <v>17</v>
      </c>
      <c r="G305" s="63">
        <f>VLOOKUP(B305,'MEMÓRIA DE CÁLCULO'!B:H,7,)</f>
        <v>142.35000000000002</v>
      </c>
      <c r="H305" s="79"/>
      <c r="I305" s="79"/>
      <c r="J305" s="87"/>
      <c r="K305" s="649" t="e">
        <f t="shared" si="4"/>
        <v>#DIV/0!</v>
      </c>
    </row>
    <row r="306" spans="2:11" ht="15" x14ac:dyDescent="0.25">
      <c r="B306" s="81" t="s">
        <v>1092</v>
      </c>
      <c r="C306" s="62" t="s">
        <v>1110</v>
      </c>
      <c r="D306" s="62">
        <f>VLOOKUP(B306,'MEMÓRIA DE CÁLCULO'!B:H,2,)</f>
        <v>270232</v>
      </c>
      <c r="E306" s="80" t="str">
        <f>VLOOKUP(B306,'MEMÓRIA DE CÁLCULO'!B:H,3,)</f>
        <v>PAVIMENTO INTERTRAVADO ESPESSURA DE 6 CM FCK = 35 MPA</v>
      </c>
      <c r="F306" s="63" t="s">
        <v>1139</v>
      </c>
      <c r="G306" s="63">
        <f>VLOOKUP(B306,'MEMÓRIA DE CÁLCULO'!B:H,7,)</f>
        <v>184.32750000000001</v>
      </c>
      <c r="H306" s="79"/>
      <c r="I306" s="79"/>
      <c r="J306" s="87"/>
      <c r="K306" s="649" t="e">
        <f t="shared" si="4"/>
        <v>#DIV/0!</v>
      </c>
    </row>
    <row r="307" spans="2:11" ht="15" x14ac:dyDescent="0.25">
      <c r="B307" s="81" t="s">
        <v>1099</v>
      </c>
      <c r="C307" s="62" t="s">
        <v>1110</v>
      </c>
      <c r="D307" s="62" t="str">
        <f>VLOOKUP(B307,'MEMÓRIA DE CÁLCULO'!B:H,2,)</f>
        <v>COMPOSIÇÃO 19</v>
      </c>
      <c r="E307" s="80" t="e">
        <f>VLOOKUP(B307,'MEMÓRIA DE CÁLCULO'!B:H,3,)</f>
        <v>#REF!</v>
      </c>
      <c r="F307" s="63" t="s">
        <v>1139</v>
      </c>
      <c r="G307" s="63">
        <f>VLOOKUP(B307,'MEMÓRIA DE CÁLCULO'!B:H,7,)</f>
        <v>195.99</v>
      </c>
      <c r="H307" s="79"/>
      <c r="I307" s="79"/>
      <c r="J307" s="87"/>
      <c r="K307" s="649" t="e">
        <f t="shared" si="4"/>
        <v>#DIV/0!</v>
      </c>
    </row>
    <row r="308" spans="2:11" x14ac:dyDescent="0.25">
      <c r="B308" s="14"/>
      <c r="D308" s="4"/>
      <c r="E308" s="259"/>
      <c r="H308" s="245"/>
      <c r="I308" s="245"/>
      <c r="J308" s="246"/>
      <c r="K308" s="141"/>
    </row>
    <row r="309" spans="2:11" s="278" customFormat="1" ht="15.6" customHeight="1" x14ac:dyDescent="0.25">
      <c r="B309" s="874" t="s">
        <v>1140</v>
      </c>
      <c r="C309" s="875"/>
      <c r="D309" s="875"/>
      <c r="E309" s="875"/>
      <c r="F309" s="875"/>
      <c r="G309" s="875"/>
      <c r="H309" s="875"/>
      <c r="I309" s="875"/>
      <c r="J309" s="876"/>
      <c r="K309" s="854"/>
    </row>
    <row r="310" spans="2:11" s="278" customFormat="1" ht="15.6" customHeight="1" x14ac:dyDescent="0.25">
      <c r="B310" s="308"/>
      <c r="C310" s="307"/>
      <c r="D310" s="306"/>
      <c r="E310" s="305"/>
      <c r="F310" s="304"/>
      <c r="G310" s="304"/>
      <c r="H310" s="303"/>
      <c r="I310" s="302" t="s">
        <v>1141</v>
      </c>
      <c r="J310" s="427">
        <f>J296+J286+J280+J274+J256+J236+J228+J222+J216+J210+J108+J61+J50+J37+J32+J28+J11+J196+J243+J264</f>
        <v>0</v>
      </c>
      <c r="K310" s="854"/>
    </row>
    <row r="311" spans="2:11" s="278" customFormat="1" ht="15.6" customHeight="1" x14ac:dyDescent="0.25">
      <c r="B311" s="314"/>
      <c r="C311" s="313"/>
      <c r="D311" s="312"/>
      <c r="E311" s="311"/>
      <c r="F311" s="255"/>
      <c r="G311" s="255"/>
      <c r="H311" s="279"/>
      <c r="I311" s="310" t="s">
        <v>1142</v>
      </c>
      <c r="J311" s="309">
        <f>ROUNDUP((J310*0.2388),2)</f>
        <v>0</v>
      </c>
      <c r="K311" s="854"/>
    </row>
    <row r="312" spans="2:11" s="278" customFormat="1" ht="15.6" customHeight="1" x14ac:dyDescent="0.25">
      <c r="B312" s="314"/>
      <c r="C312" s="313"/>
      <c r="D312" s="312"/>
      <c r="E312" s="311"/>
      <c r="F312" s="301"/>
      <c r="G312" s="301"/>
      <c r="H312" s="300"/>
      <c r="I312" s="315" t="s">
        <v>1143</v>
      </c>
      <c r="J312" s="428">
        <f>J310+J311</f>
        <v>0</v>
      </c>
      <c r="K312" s="854"/>
    </row>
    <row r="313" spans="2:11" s="278" customFormat="1" ht="16.149999999999999" customHeight="1" x14ac:dyDescent="0.25">
      <c r="B313" s="299"/>
      <c r="C313" s="298"/>
      <c r="D313" s="297"/>
      <c r="E313" s="296"/>
      <c r="F313" s="295"/>
      <c r="G313" s="295"/>
      <c r="H313" s="294"/>
      <c r="I313" s="318"/>
      <c r="J313" s="319"/>
      <c r="K313" s="854"/>
    </row>
    <row r="314" spans="2:11" s="278" customFormat="1" ht="13.9" customHeight="1" x14ac:dyDescent="0.25">
      <c r="B314" s="293"/>
      <c r="C314" s="292"/>
      <c r="D314" s="291"/>
      <c r="E314" s="290"/>
      <c r="F314" s="289"/>
      <c r="G314" s="292"/>
      <c r="H314" s="288"/>
      <c r="I314" s="316"/>
      <c r="J314" s="317"/>
      <c r="K314" s="854"/>
    </row>
    <row r="315" spans="2:11" s="278" customFormat="1" ht="17.45" customHeight="1" x14ac:dyDescent="0.25">
      <c r="B315" s="314"/>
      <c r="C315" s="281"/>
      <c r="D315" s="287"/>
      <c r="E315" s="287" t="s">
        <v>1144</v>
      </c>
      <c r="F315" s="872" t="s">
        <v>1101</v>
      </c>
      <c r="G315" s="872"/>
      <c r="H315" s="872"/>
      <c r="I315" s="872"/>
      <c r="J315" s="873"/>
      <c r="K315" s="854"/>
    </row>
    <row r="316" spans="2:11" s="278" customFormat="1" ht="17.45" customHeight="1" x14ac:dyDescent="0.25">
      <c r="B316" s="314"/>
      <c r="C316" s="313"/>
      <c r="D316" s="286"/>
      <c r="E316" s="285"/>
      <c r="F316" s="320"/>
      <c r="G316" s="869"/>
      <c r="H316" s="869"/>
      <c r="I316" s="869"/>
      <c r="J316" s="871"/>
      <c r="K316" s="854"/>
    </row>
    <row r="317" spans="2:11" s="278" customFormat="1" ht="17.45" customHeight="1" x14ac:dyDescent="0.25">
      <c r="B317" s="314"/>
      <c r="C317" s="284"/>
      <c r="D317" s="280"/>
      <c r="E317" s="283" t="s">
        <v>1145</v>
      </c>
      <c r="F317" s="282"/>
      <c r="G317" s="869" t="s">
        <v>1102</v>
      </c>
      <c r="H317" s="869"/>
      <c r="I317" s="869"/>
      <c r="J317" s="870"/>
      <c r="K317" s="854"/>
    </row>
    <row r="318" spans="2:11" ht="15" x14ac:dyDescent="0.25">
      <c r="B318" s="13"/>
      <c r="C318" s="260"/>
      <c r="E318" s="163" t="s">
        <v>1146</v>
      </c>
      <c r="F318" s="261"/>
      <c r="G318" s="877" t="s">
        <v>1103</v>
      </c>
      <c r="H318" s="877"/>
      <c r="I318" s="877"/>
      <c r="J318" s="878"/>
    </row>
    <row r="319" spans="2:11" ht="15.75" thickBot="1" x14ac:dyDescent="0.3">
      <c r="B319" s="136"/>
      <c r="C319" s="137"/>
      <c r="D319" s="138"/>
      <c r="E319" s="162" t="s">
        <v>1147</v>
      </c>
      <c r="F319" s="139"/>
      <c r="G319" s="865" t="s">
        <v>1163</v>
      </c>
      <c r="H319" s="865"/>
      <c r="I319" s="865"/>
      <c r="J319" s="866"/>
    </row>
    <row r="320" spans="2:11" x14ac:dyDescent="0.25">
      <c r="D320" s="18"/>
      <c r="H320" s="19"/>
      <c r="I320" s="19"/>
      <c r="J320" s="15"/>
    </row>
    <row r="321" spans="4:5" x14ac:dyDescent="0.25">
      <c r="D321" s="18"/>
    </row>
    <row r="322" spans="4:5" x14ac:dyDescent="0.25">
      <c r="D322" s="18"/>
    </row>
    <row r="323" spans="4:5" x14ac:dyDescent="0.25">
      <c r="D323" s="18"/>
      <c r="E323" s="12"/>
    </row>
  </sheetData>
  <sheetProtection sheet="1" formatCells="0" formatColumns="0" formatRows="0" insertColumns="0" insertRows="0" insertHyperlinks="0" deleteColumns="0" deleteRows="0" sort="0" autoFilter="0" pivotTables="0"/>
  <mergeCells count="65">
    <mergeCell ref="K1:K5"/>
    <mergeCell ref="B37:I37"/>
    <mergeCell ref="B50:I50"/>
    <mergeCell ref="B36:J36"/>
    <mergeCell ref="B31:J31"/>
    <mergeCell ref="C12:J12"/>
    <mergeCell ref="C29:J29"/>
    <mergeCell ref="C33:J33"/>
    <mergeCell ref="B11:I11"/>
    <mergeCell ref="B32:I32"/>
    <mergeCell ref="B28:I28"/>
    <mergeCell ref="E1:J1"/>
    <mergeCell ref="E2:J2"/>
    <mergeCell ref="E3:J3"/>
    <mergeCell ref="E4:J4"/>
    <mergeCell ref="C38:J38"/>
    <mergeCell ref="E5:J5"/>
    <mergeCell ref="C257:J257"/>
    <mergeCell ref="B236:I236"/>
    <mergeCell ref="C229:J229"/>
    <mergeCell ref="C217:J217"/>
    <mergeCell ref="C223:J223"/>
    <mergeCell ref="B243:I243"/>
    <mergeCell ref="C244:J244"/>
    <mergeCell ref="B256:I256"/>
    <mergeCell ref="C237:J237"/>
    <mergeCell ref="B228:I228"/>
    <mergeCell ref="C62:J62"/>
    <mergeCell ref="E9:J9"/>
    <mergeCell ref="E8:J8"/>
    <mergeCell ref="G319:J319"/>
    <mergeCell ref="C275:J275"/>
    <mergeCell ref="B280:I280"/>
    <mergeCell ref="B286:I286"/>
    <mergeCell ref="B295:J295"/>
    <mergeCell ref="C287:J287"/>
    <mergeCell ref="C281:J281"/>
    <mergeCell ref="B296:I296"/>
    <mergeCell ref="C297:J297"/>
    <mergeCell ref="G317:J317"/>
    <mergeCell ref="G316:J316"/>
    <mergeCell ref="F315:J315"/>
    <mergeCell ref="B309:J309"/>
    <mergeCell ref="G318:J318"/>
    <mergeCell ref="E6:J6"/>
    <mergeCell ref="B176:I176"/>
    <mergeCell ref="B148:I148"/>
    <mergeCell ref="C109:J109"/>
    <mergeCell ref="B108:I108"/>
    <mergeCell ref="B110:I110"/>
    <mergeCell ref="C60:J60"/>
    <mergeCell ref="E7:J7"/>
    <mergeCell ref="B61:I61"/>
    <mergeCell ref="C211:J211"/>
    <mergeCell ref="B196:I196"/>
    <mergeCell ref="C197:J197"/>
    <mergeCell ref="C51:J51"/>
    <mergeCell ref="K309:K317"/>
    <mergeCell ref="C265:J265"/>
    <mergeCell ref="B264:I264"/>
    <mergeCell ref="B188:I188"/>
    <mergeCell ref="B222:I222"/>
    <mergeCell ref="B210:I210"/>
    <mergeCell ref="B216:I216"/>
    <mergeCell ref="B274:I274"/>
  </mergeCells>
  <phoneticPr fontId="7" type="noConversion"/>
  <printOptions horizontalCentered="1"/>
  <pageMargins left="0.7" right="0.7" top="0.75" bottom="0.75" header="0.3" footer="0.3"/>
  <pageSetup paperSize="9" scale="50" fitToHeight="0" orientation="landscape" r:id="rId1"/>
  <headerFooter>
    <oddFooter>Página &amp;P de &amp;N</oddFooter>
  </headerFooter>
  <rowBreaks count="5" manualBreakCount="5">
    <brk id="64" min="1" max="9" man="1"/>
    <brk id="122" min="1" max="9" man="1"/>
    <brk id="175" min="1" max="9" man="1"/>
    <brk id="227" min="1" max="9" man="1"/>
    <brk id="285" min="1" max="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R58"/>
  <sheetViews>
    <sheetView topLeftCell="D10" zoomScale="85" zoomScaleNormal="85" zoomScaleSheetLayoutView="90" workbookViewId="0">
      <selection activeCell="P25" sqref="P25"/>
    </sheetView>
  </sheetViews>
  <sheetFormatPr defaultRowHeight="15" x14ac:dyDescent="0.25"/>
  <cols>
    <col min="2" max="2" width="6.7109375" style="2" bestFit="1" customWidth="1"/>
    <col min="3" max="3" width="42.7109375" customWidth="1"/>
    <col min="4" max="4" width="18.7109375" style="5" customWidth="1"/>
    <col min="5" max="5" width="12.42578125" style="2" customWidth="1"/>
    <col min="6" max="6" width="18.85546875" style="2" bestFit="1" customWidth="1"/>
    <col min="7" max="7" width="15.5703125" style="2" customWidth="1"/>
    <col min="8" max="8" width="15" style="2" customWidth="1"/>
    <col min="9" max="9" width="15.42578125" style="2" customWidth="1"/>
    <col min="10" max="10" width="15.85546875" style="2" customWidth="1"/>
    <col min="11" max="11" width="15.5703125" style="2" customWidth="1"/>
    <col min="12" max="12" width="15.85546875" style="2" bestFit="1" customWidth="1"/>
    <col min="13" max="14" width="15.85546875" style="2" customWidth="1"/>
    <col min="15" max="15" width="15.85546875" style="2" bestFit="1" customWidth="1"/>
    <col min="16" max="16" width="9.85546875" style="2" customWidth="1"/>
    <col min="18" max="18" width="16" bestFit="1" customWidth="1"/>
  </cols>
  <sheetData>
    <row r="1" spans="2:17" ht="15.75" customHeight="1" x14ac:dyDescent="0.25">
      <c r="B1" s="888" t="s">
        <v>1148</v>
      </c>
      <c r="C1" s="889"/>
      <c r="D1" s="889"/>
      <c r="E1" s="889"/>
      <c r="F1" s="889"/>
      <c r="G1" s="889"/>
      <c r="H1" s="889"/>
      <c r="I1" s="889"/>
      <c r="J1" s="889"/>
      <c r="K1" s="889"/>
      <c r="L1" s="889"/>
      <c r="M1" s="889"/>
      <c r="N1" s="889"/>
      <c r="O1" s="889"/>
      <c r="P1" s="890"/>
      <c r="Q1" s="581">
        <v>0.23880000000000001</v>
      </c>
    </row>
    <row r="2" spans="2:17" ht="15.75" customHeight="1" x14ac:dyDescent="0.25">
      <c r="B2" s="458"/>
      <c r="C2" s="891" t="s">
        <v>0</v>
      </c>
      <c r="D2" s="891"/>
      <c r="E2" s="891"/>
      <c r="F2" s="891"/>
      <c r="G2" s="891"/>
      <c r="H2" s="891"/>
      <c r="I2" s="891"/>
      <c r="J2" s="891"/>
      <c r="K2" s="891"/>
      <c r="L2" s="891"/>
      <c r="M2" s="891"/>
      <c r="N2" s="891"/>
      <c r="O2" s="891"/>
      <c r="P2" s="892"/>
    </row>
    <row r="3" spans="2:17" ht="15.75" customHeight="1" x14ac:dyDescent="0.25">
      <c r="B3" s="458"/>
      <c r="C3" s="891" t="s">
        <v>1</v>
      </c>
      <c r="D3" s="891"/>
      <c r="E3" s="891"/>
      <c r="F3" s="891"/>
      <c r="G3" s="891"/>
      <c r="H3" s="891"/>
      <c r="I3" s="891"/>
      <c r="J3" s="891"/>
      <c r="K3" s="891"/>
      <c r="L3" s="891"/>
      <c r="M3" s="891"/>
      <c r="N3" s="891"/>
      <c r="O3" s="891"/>
      <c r="P3" s="892"/>
    </row>
    <row r="4" spans="2:17" ht="16.149999999999999" customHeight="1" x14ac:dyDescent="0.25">
      <c r="B4" s="893" t="s">
        <v>2</v>
      </c>
      <c r="C4" s="894"/>
      <c r="D4" s="894"/>
      <c r="E4" s="894"/>
      <c r="F4" s="894"/>
      <c r="G4" s="894"/>
      <c r="H4" s="894"/>
      <c r="I4" s="894"/>
      <c r="J4" s="894"/>
      <c r="K4" s="894"/>
      <c r="L4" s="894"/>
      <c r="M4" s="894"/>
      <c r="N4" s="894"/>
      <c r="O4" s="894"/>
      <c r="P4" s="895"/>
    </row>
    <row r="5" spans="2:17" ht="25.15" customHeight="1" x14ac:dyDescent="0.25">
      <c r="B5" s="885" t="s">
        <v>1149</v>
      </c>
      <c r="C5" s="886"/>
      <c r="D5" s="886"/>
      <c r="E5" s="886"/>
      <c r="F5" s="886"/>
      <c r="G5" s="886"/>
      <c r="H5" s="886"/>
      <c r="I5" s="886"/>
      <c r="J5" s="886"/>
      <c r="K5" s="886"/>
      <c r="L5" s="886"/>
      <c r="M5" s="886"/>
      <c r="N5" s="886"/>
      <c r="O5" s="886"/>
      <c r="P5" s="887"/>
    </row>
    <row r="6" spans="2:17" ht="19.5" customHeight="1" x14ac:dyDescent="0.25">
      <c r="B6" s="901"/>
      <c r="C6" s="902"/>
      <c r="D6" s="902"/>
      <c r="E6" s="903"/>
      <c r="F6" s="899" t="s">
        <v>1150</v>
      </c>
      <c r="G6" s="899"/>
      <c r="H6" s="899"/>
      <c r="I6" s="899"/>
      <c r="J6" s="899"/>
      <c r="K6" s="899"/>
      <c r="L6" s="899"/>
      <c r="M6" s="899"/>
      <c r="N6" s="899"/>
      <c r="O6" s="899"/>
      <c r="P6" s="580"/>
    </row>
    <row r="7" spans="2:17" ht="37.5" customHeight="1" x14ac:dyDescent="0.25">
      <c r="B7" s="897" t="s">
        <v>1151</v>
      </c>
      <c r="C7" s="898"/>
      <c r="D7" s="185" t="s">
        <v>1152</v>
      </c>
      <c r="E7" s="185" t="s">
        <v>1153</v>
      </c>
      <c r="F7" s="153">
        <v>1</v>
      </c>
      <c r="G7" s="153">
        <v>2</v>
      </c>
      <c r="H7" s="153">
        <v>3</v>
      </c>
      <c r="I7" s="153">
        <v>4</v>
      </c>
      <c r="J7" s="153">
        <v>5</v>
      </c>
      <c r="K7" s="153">
        <v>6</v>
      </c>
      <c r="L7" s="153">
        <v>7</v>
      </c>
      <c r="M7" s="153">
        <v>8</v>
      </c>
      <c r="N7" s="153">
        <v>9</v>
      </c>
      <c r="O7" s="153">
        <v>10</v>
      </c>
      <c r="P7" s="186" t="s">
        <v>14</v>
      </c>
    </row>
    <row r="8" spans="2:17" ht="14.45" customHeight="1" x14ac:dyDescent="0.25">
      <c r="B8" s="34">
        <v>1</v>
      </c>
      <c r="C8" s="23" t="s">
        <v>13</v>
      </c>
      <c r="D8" s="24">
        <f>'ORÇAMENTO '!J11</f>
        <v>0</v>
      </c>
      <c r="E8" s="25" t="e">
        <f>D8/$D$28</f>
        <v>#DIV/0!</v>
      </c>
      <c r="F8" s="25">
        <v>0.8</v>
      </c>
      <c r="G8" s="25">
        <v>0.2</v>
      </c>
      <c r="H8" s="25"/>
      <c r="I8" s="25"/>
      <c r="J8" s="25"/>
      <c r="K8" s="25"/>
      <c r="L8" s="25"/>
      <c r="M8" s="25"/>
      <c r="N8" s="25"/>
      <c r="O8" s="25"/>
      <c r="P8" s="35">
        <f t="shared" ref="P8:P27" si="0">SUM(F8:O8)</f>
        <v>1</v>
      </c>
    </row>
    <row r="9" spans="2:17" x14ac:dyDescent="0.25">
      <c r="B9" s="34">
        <v>2</v>
      </c>
      <c r="C9" s="23" t="s">
        <v>90</v>
      </c>
      <c r="D9" s="24">
        <f>'ORÇAMENTO '!J28</f>
        <v>0</v>
      </c>
      <c r="E9" s="25" t="e">
        <f t="shared" ref="E9:E27" si="1">D9/$D$28</f>
        <v>#DIV/0!</v>
      </c>
      <c r="F9" s="25">
        <v>0.8</v>
      </c>
      <c r="G9" s="25">
        <v>0.2</v>
      </c>
      <c r="H9" s="25"/>
      <c r="I9" s="25"/>
      <c r="J9" s="25"/>
      <c r="K9" s="25"/>
      <c r="L9" s="25"/>
      <c r="M9" s="25"/>
      <c r="N9" s="25"/>
      <c r="O9" s="25"/>
      <c r="P9" s="35">
        <f t="shared" si="0"/>
        <v>1</v>
      </c>
    </row>
    <row r="10" spans="2:17" x14ac:dyDescent="0.25">
      <c r="B10" s="34">
        <v>3</v>
      </c>
      <c r="C10" s="23" t="s">
        <v>109</v>
      </c>
      <c r="D10" s="24">
        <f>'ORÇAMENTO '!J32</f>
        <v>0</v>
      </c>
      <c r="E10" s="25" t="e">
        <f t="shared" si="1"/>
        <v>#DIV/0!</v>
      </c>
      <c r="F10" s="25">
        <v>0.5</v>
      </c>
      <c r="G10" s="25">
        <v>0.25</v>
      </c>
      <c r="H10" s="25">
        <v>0.25</v>
      </c>
      <c r="I10" s="25"/>
      <c r="J10" s="25"/>
      <c r="K10" s="25"/>
      <c r="L10" s="25"/>
      <c r="M10" s="25"/>
      <c r="N10" s="25"/>
      <c r="O10" s="25"/>
      <c r="P10" s="35">
        <f t="shared" si="0"/>
        <v>1</v>
      </c>
    </row>
    <row r="11" spans="2:17" x14ac:dyDescent="0.25">
      <c r="B11" s="34">
        <v>4</v>
      </c>
      <c r="C11" s="23" t="s">
        <v>118</v>
      </c>
      <c r="D11" s="24">
        <f>'ORÇAMENTO '!J37</f>
        <v>0</v>
      </c>
      <c r="E11" s="25" t="e">
        <f t="shared" si="1"/>
        <v>#DIV/0!</v>
      </c>
      <c r="F11" s="25"/>
      <c r="G11" s="25">
        <v>0.5</v>
      </c>
      <c r="H11" s="25">
        <v>0.5</v>
      </c>
      <c r="I11" s="424"/>
      <c r="J11" s="423"/>
      <c r="K11" s="25"/>
      <c r="L11" s="25"/>
      <c r="M11" s="25"/>
      <c r="N11" s="25"/>
      <c r="O11" s="25"/>
      <c r="P11" s="35">
        <f t="shared" si="0"/>
        <v>1</v>
      </c>
    </row>
    <row r="12" spans="2:17" x14ac:dyDescent="0.25">
      <c r="B12" s="34">
        <v>5</v>
      </c>
      <c r="C12" s="23" t="s">
        <v>1116</v>
      </c>
      <c r="D12" s="24">
        <f>'ORÇAMENTO '!J50</f>
        <v>0</v>
      </c>
      <c r="E12" s="25" t="e">
        <f t="shared" si="1"/>
        <v>#DIV/0!</v>
      </c>
      <c r="F12" s="25"/>
      <c r="G12" s="25">
        <v>0.5</v>
      </c>
      <c r="H12" s="25">
        <v>0.5</v>
      </c>
      <c r="I12" s="424"/>
      <c r="J12" s="426"/>
      <c r="K12" s="25"/>
      <c r="L12" s="25"/>
      <c r="M12" s="25"/>
      <c r="N12" s="25"/>
      <c r="O12" s="25"/>
      <c r="P12" s="35">
        <f t="shared" si="0"/>
        <v>1</v>
      </c>
    </row>
    <row r="13" spans="2:17" ht="30" x14ac:dyDescent="0.25">
      <c r="B13" s="34">
        <v>6</v>
      </c>
      <c r="C13" s="26" t="s">
        <v>1154</v>
      </c>
      <c r="D13" s="24">
        <f>'ORÇAMENTO '!J61</f>
        <v>0</v>
      </c>
      <c r="E13" s="25" t="e">
        <f t="shared" si="1"/>
        <v>#DIV/0!</v>
      </c>
      <c r="F13" s="25"/>
      <c r="G13" s="25"/>
      <c r="H13" s="424"/>
      <c r="I13" s="25">
        <v>0.2</v>
      </c>
      <c r="J13" s="25">
        <v>0.2</v>
      </c>
      <c r="K13" s="25">
        <v>0.15</v>
      </c>
      <c r="L13" s="25">
        <v>0.15</v>
      </c>
      <c r="M13" s="25">
        <v>0.15</v>
      </c>
      <c r="N13" s="25">
        <v>0.15</v>
      </c>
      <c r="P13" s="35">
        <f t="shared" si="0"/>
        <v>1</v>
      </c>
    </row>
    <row r="14" spans="2:17" x14ac:dyDescent="0.25">
      <c r="B14" s="34">
        <v>7</v>
      </c>
      <c r="C14" s="23" t="s">
        <v>1122</v>
      </c>
      <c r="D14" s="24">
        <f>'ORÇAMENTO '!J108</f>
        <v>0</v>
      </c>
      <c r="E14" s="25" t="e">
        <f t="shared" si="1"/>
        <v>#DIV/0!</v>
      </c>
      <c r="F14" s="25"/>
      <c r="G14" s="25">
        <v>0.2</v>
      </c>
      <c r="H14" s="425">
        <v>0.2</v>
      </c>
      <c r="J14" s="25">
        <v>0.2</v>
      </c>
      <c r="K14" s="25">
        <v>0.2</v>
      </c>
      <c r="L14" s="25">
        <v>0.1</v>
      </c>
      <c r="N14" s="25">
        <v>0.1</v>
      </c>
      <c r="O14" s="25"/>
      <c r="P14" s="35">
        <f t="shared" si="0"/>
        <v>1</v>
      </c>
    </row>
    <row r="15" spans="2:17" x14ac:dyDescent="0.25">
      <c r="B15" s="34">
        <v>8</v>
      </c>
      <c r="C15" s="23" t="s">
        <v>540</v>
      </c>
      <c r="D15" s="24">
        <f>'ORÇAMENTO '!J196</f>
        <v>0</v>
      </c>
      <c r="E15" s="25" t="e">
        <f t="shared" si="1"/>
        <v>#DIV/0!</v>
      </c>
      <c r="F15" s="25"/>
      <c r="G15" s="25"/>
      <c r="H15" s="25"/>
      <c r="I15" s="25"/>
      <c r="J15" s="25"/>
      <c r="K15" s="426"/>
      <c r="L15" s="25"/>
      <c r="M15" s="25">
        <v>1</v>
      </c>
      <c r="N15" s="25"/>
      <c r="O15" s="25"/>
      <c r="P15" s="35">
        <f t="shared" si="0"/>
        <v>1</v>
      </c>
    </row>
    <row r="16" spans="2:17" x14ac:dyDescent="0.25">
      <c r="B16" s="34">
        <v>9</v>
      </c>
      <c r="C16" s="23" t="s">
        <v>1128</v>
      </c>
      <c r="D16" s="24">
        <f>'ORÇAMENTO '!J210</f>
        <v>0</v>
      </c>
      <c r="E16" s="25" t="e">
        <f t="shared" si="1"/>
        <v>#DIV/0!</v>
      </c>
      <c r="F16" s="25"/>
      <c r="G16" s="25"/>
      <c r="H16" s="25"/>
      <c r="I16" s="25">
        <v>0.5</v>
      </c>
      <c r="J16" s="25">
        <v>0.5</v>
      </c>
      <c r="K16" s="25"/>
      <c r="L16" s="25"/>
      <c r="M16" s="25"/>
      <c r="N16" s="25"/>
      <c r="O16" s="25"/>
      <c r="P16" s="35">
        <f t="shared" si="0"/>
        <v>1</v>
      </c>
    </row>
    <row r="17" spans="2:18" x14ac:dyDescent="0.25">
      <c r="B17" s="34">
        <v>10</v>
      </c>
      <c r="C17" s="23" t="s">
        <v>596</v>
      </c>
      <c r="D17" s="24">
        <f>'ORÇAMENTO '!J216</f>
        <v>0</v>
      </c>
      <c r="E17" s="25" t="e">
        <f t="shared" si="1"/>
        <v>#DIV/0!</v>
      </c>
      <c r="F17" s="25"/>
      <c r="G17" s="25"/>
      <c r="H17" s="25"/>
      <c r="I17" s="25">
        <v>0.4</v>
      </c>
      <c r="J17" s="25">
        <v>0.4</v>
      </c>
      <c r="K17" s="25">
        <v>0.2</v>
      </c>
      <c r="L17" s="25"/>
      <c r="M17" s="25"/>
      <c r="N17" s="25"/>
      <c r="O17" s="25"/>
      <c r="P17" s="35">
        <f t="shared" si="0"/>
        <v>1</v>
      </c>
    </row>
    <row r="18" spans="2:18" x14ac:dyDescent="0.25">
      <c r="B18" s="34">
        <v>11</v>
      </c>
      <c r="C18" s="23" t="s">
        <v>1131</v>
      </c>
      <c r="D18" s="24">
        <f>'ORÇAMENTO '!J222</f>
        <v>0</v>
      </c>
      <c r="E18" s="25" t="e">
        <f t="shared" si="1"/>
        <v>#DIV/0!</v>
      </c>
      <c r="F18" s="25"/>
      <c r="G18" s="25"/>
      <c r="H18" s="25">
        <v>0.8</v>
      </c>
      <c r="I18" s="25"/>
      <c r="J18" s="25"/>
      <c r="K18" s="25">
        <v>0.2</v>
      </c>
      <c r="L18" s="25"/>
      <c r="M18" s="25"/>
      <c r="N18" s="25"/>
      <c r="O18" s="25"/>
      <c r="P18" s="35">
        <f t="shared" si="0"/>
        <v>1</v>
      </c>
    </row>
    <row r="19" spans="2:18" x14ac:dyDescent="0.25">
      <c r="B19" s="34">
        <v>12</v>
      </c>
      <c r="C19" s="23" t="s">
        <v>664</v>
      </c>
      <c r="D19" s="24">
        <f>'ORÇAMENTO '!J228</f>
        <v>0</v>
      </c>
      <c r="E19" s="25" t="e">
        <f t="shared" si="1"/>
        <v>#DIV/0!</v>
      </c>
      <c r="F19" s="25"/>
      <c r="G19" s="25">
        <v>0.3</v>
      </c>
      <c r="H19" s="25">
        <v>0.3</v>
      </c>
      <c r="I19" s="25">
        <v>0.2</v>
      </c>
      <c r="J19" s="25">
        <v>0.1</v>
      </c>
      <c r="K19" s="25">
        <v>0.1</v>
      </c>
      <c r="L19" s="25"/>
      <c r="M19" s="25"/>
      <c r="N19" s="25"/>
      <c r="O19" s="25"/>
      <c r="P19" s="35">
        <f t="shared" si="0"/>
        <v>1</v>
      </c>
    </row>
    <row r="20" spans="2:18" x14ac:dyDescent="0.25">
      <c r="B20" s="34">
        <v>13</v>
      </c>
      <c r="C20" s="23" t="s">
        <v>1155</v>
      </c>
      <c r="D20" s="24">
        <f>'ORÇAMENTO '!J236</f>
        <v>0</v>
      </c>
      <c r="E20" s="25" t="e">
        <f t="shared" si="1"/>
        <v>#DIV/0!</v>
      </c>
      <c r="F20" s="25"/>
      <c r="G20" s="25"/>
      <c r="H20" s="25"/>
      <c r="I20" s="25"/>
      <c r="J20" s="25">
        <v>1</v>
      </c>
      <c r="K20" s="25"/>
      <c r="L20" s="25"/>
      <c r="M20" s="25"/>
      <c r="N20" s="25"/>
      <c r="O20" s="25"/>
      <c r="P20" s="35">
        <f t="shared" si="0"/>
        <v>1</v>
      </c>
    </row>
    <row r="21" spans="2:18" x14ac:dyDescent="0.25">
      <c r="B21" s="34">
        <v>14</v>
      </c>
      <c r="C21" s="23" t="s">
        <v>704</v>
      </c>
      <c r="D21" s="24">
        <f>'ORÇAMENTO '!J243</f>
        <v>0</v>
      </c>
      <c r="E21" s="25" t="e">
        <f t="shared" si="1"/>
        <v>#DIV/0!</v>
      </c>
      <c r="F21" s="25"/>
      <c r="G21" s="25"/>
      <c r="H21" s="25"/>
      <c r="I21" s="25"/>
      <c r="J21" s="426"/>
      <c r="K21" s="25">
        <v>0.3</v>
      </c>
      <c r="L21" s="25">
        <v>0.3</v>
      </c>
      <c r="M21" s="25">
        <v>0.4</v>
      </c>
      <c r="O21" s="25"/>
      <c r="P21" s="35">
        <f t="shared" si="0"/>
        <v>1</v>
      </c>
    </row>
    <row r="22" spans="2:18" x14ac:dyDescent="0.25">
      <c r="B22" s="34">
        <v>15</v>
      </c>
      <c r="C22" s="23" t="s">
        <v>756</v>
      </c>
      <c r="D22" s="24">
        <f>'ORÇAMENTO '!J256</f>
        <v>0</v>
      </c>
      <c r="E22" s="25" t="e">
        <f t="shared" si="1"/>
        <v>#DIV/0!</v>
      </c>
      <c r="F22" s="25"/>
      <c r="G22" s="25"/>
      <c r="H22" s="25"/>
      <c r="I22" s="25"/>
      <c r="J22" s="25"/>
      <c r="K22" s="25">
        <v>0.5</v>
      </c>
      <c r="L22" s="25">
        <v>0.5</v>
      </c>
      <c r="M22" s="25"/>
      <c r="N22" s="25"/>
      <c r="O22" s="25"/>
      <c r="P22" s="35">
        <f t="shared" si="0"/>
        <v>1</v>
      </c>
    </row>
    <row r="23" spans="2:18" x14ac:dyDescent="0.25">
      <c r="B23" s="34">
        <v>16</v>
      </c>
      <c r="C23" s="23" t="s">
        <v>809</v>
      </c>
      <c r="D23" s="24">
        <f>'ORÇAMENTO '!J264</f>
        <v>0</v>
      </c>
      <c r="E23" s="25" t="e">
        <f t="shared" si="1"/>
        <v>#DIV/0!</v>
      </c>
      <c r="F23" s="25"/>
      <c r="G23" s="25"/>
      <c r="H23" s="25"/>
      <c r="I23" s="25"/>
      <c r="J23" s="425"/>
      <c r="K23" s="426"/>
      <c r="L23" s="25">
        <v>0.25</v>
      </c>
      <c r="M23" s="25">
        <v>0.25</v>
      </c>
      <c r="N23" s="25">
        <v>0.25</v>
      </c>
      <c r="O23" s="25">
        <v>0.25</v>
      </c>
      <c r="P23" s="35">
        <f t="shared" si="0"/>
        <v>1</v>
      </c>
    </row>
    <row r="24" spans="2:18" x14ac:dyDescent="0.25">
      <c r="B24" s="34">
        <v>17</v>
      </c>
      <c r="C24" s="23" t="s">
        <v>848</v>
      </c>
      <c r="D24" s="24">
        <f>'ORÇAMENTO '!J274</f>
        <v>0</v>
      </c>
      <c r="E24" s="25" t="e">
        <f t="shared" si="1"/>
        <v>#DIV/0!</v>
      </c>
      <c r="F24" s="25"/>
      <c r="G24" s="25"/>
      <c r="H24" s="25"/>
      <c r="I24" s="25"/>
      <c r="J24" s="25">
        <v>1</v>
      </c>
      <c r="K24" s="25"/>
      <c r="L24" s="25"/>
      <c r="M24" s="25"/>
      <c r="N24" s="25"/>
      <c r="O24" s="25"/>
      <c r="P24" s="35">
        <f>SUM(F24:O24)</f>
        <v>1</v>
      </c>
    </row>
    <row r="25" spans="2:18" x14ac:dyDescent="0.25">
      <c r="B25" s="34">
        <v>18</v>
      </c>
      <c r="C25" s="23" t="s">
        <v>1156</v>
      </c>
      <c r="D25" s="24">
        <f>'ORÇAMENTO '!J280</f>
        <v>0</v>
      </c>
      <c r="E25" s="25" t="e">
        <f t="shared" si="1"/>
        <v>#DIV/0!</v>
      </c>
      <c r="F25" s="25">
        <v>1.8100000000000002E-2</v>
      </c>
      <c r="G25" s="25">
        <v>8.3799999999999999E-2</v>
      </c>
      <c r="H25" s="25">
        <v>0.1168</v>
      </c>
      <c r="I25" s="25">
        <v>8.3500000000000005E-2</v>
      </c>
      <c r="J25" s="25">
        <v>0.11310000000000001</v>
      </c>
      <c r="K25" s="25">
        <v>0.1525</v>
      </c>
      <c r="L25" s="25">
        <v>0.1235</v>
      </c>
      <c r="M25" s="25">
        <v>0.1022</v>
      </c>
      <c r="N25" s="25">
        <v>0.1082</v>
      </c>
      <c r="O25" s="25">
        <v>9.8299999999999998E-2</v>
      </c>
      <c r="P25" s="35">
        <f>SUM(F25:O25)</f>
        <v>1</v>
      </c>
      <c r="R25" s="582">
        <f>SUM(F25:O25)</f>
        <v>1</v>
      </c>
    </row>
    <row r="26" spans="2:18" x14ac:dyDescent="0.25">
      <c r="B26" s="34">
        <v>19</v>
      </c>
      <c r="C26" s="23" t="s">
        <v>872</v>
      </c>
      <c r="D26" s="24">
        <f>'ORÇAMENTO '!J286</f>
        <v>0</v>
      </c>
      <c r="E26" s="25" t="e">
        <f t="shared" si="1"/>
        <v>#DIV/0!</v>
      </c>
      <c r="F26" s="25"/>
      <c r="G26" s="25"/>
      <c r="H26" s="25"/>
      <c r="I26" s="25"/>
      <c r="J26" s="25"/>
      <c r="K26" s="25"/>
      <c r="L26" s="424"/>
      <c r="N26" s="25">
        <v>0.5</v>
      </c>
      <c r="O26" s="25">
        <v>0.5</v>
      </c>
      <c r="P26" s="35">
        <f t="shared" si="0"/>
        <v>1</v>
      </c>
    </row>
    <row r="27" spans="2:18" x14ac:dyDescent="0.25">
      <c r="B27" s="34">
        <v>20</v>
      </c>
      <c r="C27" s="23" t="s">
        <v>1043</v>
      </c>
      <c r="D27" s="24">
        <f>'ORÇAMENTO '!J296</f>
        <v>0</v>
      </c>
      <c r="E27" s="25" t="e">
        <f t="shared" si="1"/>
        <v>#DIV/0!</v>
      </c>
      <c r="F27" s="25"/>
      <c r="G27" s="25"/>
      <c r="H27" s="25"/>
      <c r="I27" s="25"/>
      <c r="J27" s="25"/>
      <c r="K27" s="25"/>
      <c r="M27" s="25">
        <v>0.25</v>
      </c>
      <c r="N27" s="25">
        <v>0.35</v>
      </c>
      <c r="O27" s="25">
        <v>0.4</v>
      </c>
      <c r="P27" s="35">
        <f t="shared" si="0"/>
        <v>1</v>
      </c>
    </row>
    <row r="28" spans="2:18" x14ac:dyDescent="0.25">
      <c r="B28" s="904" t="s">
        <v>1157</v>
      </c>
      <c r="C28" s="905"/>
      <c r="D28" s="27">
        <f>SUM(D8:D27)</f>
        <v>0</v>
      </c>
      <c r="E28" s="28" t="e">
        <f>SUM(E8:E27)</f>
        <v>#DIV/0!</v>
      </c>
      <c r="F28" s="29" cm="1">
        <f t="array" ref="F28">SUM(F8:F27*D8:D27)</f>
        <v>0</v>
      </c>
      <c r="G28" s="29">
        <f t="array" ref="G28">SUM(G8:G27*$D$8:$D$27)</f>
        <v>0</v>
      </c>
      <c r="H28" s="29">
        <f t="array" ref="H28">SUM(H8:H27*$D$8:$D$27)</f>
        <v>0</v>
      </c>
      <c r="I28" s="29">
        <f t="array" ref="I28">SUM(I8:I27*$D$8:$D$27)</f>
        <v>0</v>
      </c>
      <c r="J28" s="29">
        <f t="array" ref="J28">SUM(J8:J27*$D$8:$D$27)</f>
        <v>0</v>
      </c>
      <c r="K28" s="29">
        <f t="array" ref="K28">SUM(K8:K27*$D$8:$D$27)</f>
        <v>0</v>
      </c>
      <c r="L28" s="29">
        <f t="array" ref="L28">SUM(L8:L27*$D$8:$D$27)</f>
        <v>0</v>
      </c>
      <c r="M28" s="29">
        <f t="array" ref="M28">SUM(M8:M27*$D$8:$D$27)</f>
        <v>0</v>
      </c>
      <c r="N28" s="29">
        <f t="array" ref="N28">SUM(N8:N27*$D$8:$D$27)</f>
        <v>0</v>
      </c>
      <c r="O28" s="29">
        <f t="array" ref="O28">SUM(O8:O27*$D$8:$D$27)</f>
        <v>0</v>
      </c>
      <c r="P28" s="583"/>
      <c r="R28" s="586">
        <f>SUM(F28:O28)</f>
        <v>0</v>
      </c>
    </row>
    <row r="29" spans="2:18" x14ac:dyDescent="0.25">
      <c r="B29" s="904" t="s">
        <v>1158</v>
      </c>
      <c r="C29" s="905" t="s">
        <v>1158</v>
      </c>
      <c r="D29" s="30">
        <f>D28+(D28*Q1)</f>
        <v>0</v>
      </c>
      <c r="E29" s="31"/>
      <c r="F29" s="31">
        <f>F28+(F28*$Q$1)</f>
        <v>0</v>
      </c>
      <c r="G29" s="31">
        <f t="shared" ref="G29:O29" si="2">G28+(G28*$Q$1)</f>
        <v>0</v>
      </c>
      <c r="H29" s="31">
        <f t="shared" si="2"/>
        <v>0</v>
      </c>
      <c r="I29" s="31">
        <f t="shared" si="2"/>
        <v>0</v>
      </c>
      <c r="J29" s="31">
        <f t="shared" si="2"/>
        <v>0</v>
      </c>
      <c r="K29" s="31">
        <f t="shared" si="2"/>
        <v>0</v>
      </c>
      <c r="L29" s="31">
        <f t="shared" si="2"/>
        <v>0</v>
      </c>
      <c r="M29" s="31">
        <f t="shared" si="2"/>
        <v>0</v>
      </c>
      <c r="N29" s="31">
        <f t="shared" si="2"/>
        <v>0</v>
      </c>
      <c r="O29" s="31">
        <f t="shared" si="2"/>
        <v>0</v>
      </c>
      <c r="P29" s="584"/>
      <c r="R29" s="586">
        <f>SUM(F29:O29)</f>
        <v>0</v>
      </c>
    </row>
    <row r="30" spans="2:18" x14ac:dyDescent="0.25">
      <c r="B30" s="904" t="s">
        <v>1159</v>
      </c>
      <c r="C30" s="906"/>
      <c r="D30" s="906"/>
      <c r="E30" s="905"/>
      <c r="F30" s="25" t="e">
        <f>F28/$D$28</f>
        <v>#DIV/0!</v>
      </c>
      <c r="G30" s="25" t="e">
        <f t="shared" ref="G30:M30" si="3">G28/$D$28</f>
        <v>#DIV/0!</v>
      </c>
      <c r="H30" s="25" t="e">
        <f t="shared" si="3"/>
        <v>#DIV/0!</v>
      </c>
      <c r="I30" s="25" t="e">
        <f t="shared" si="3"/>
        <v>#DIV/0!</v>
      </c>
      <c r="J30" s="25" t="e">
        <f t="shared" si="3"/>
        <v>#DIV/0!</v>
      </c>
      <c r="K30" s="25" t="e">
        <f t="shared" si="3"/>
        <v>#DIV/0!</v>
      </c>
      <c r="L30" s="25" t="e">
        <f t="shared" si="3"/>
        <v>#DIV/0!</v>
      </c>
      <c r="M30" s="25" t="e">
        <f t="shared" si="3"/>
        <v>#DIV/0!</v>
      </c>
      <c r="N30" s="25" t="e">
        <f>N28/$D$28</f>
        <v>#DIV/0!</v>
      </c>
      <c r="O30" s="25" t="e">
        <f>O28/$D$28</f>
        <v>#DIV/0!</v>
      </c>
      <c r="P30" s="35" t="e">
        <f>SUM(F30:O30)</f>
        <v>#DIV/0!</v>
      </c>
    </row>
    <row r="31" spans="2:18" x14ac:dyDescent="0.25">
      <c r="B31" s="904" t="s">
        <v>1160</v>
      </c>
      <c r="C31" s="906"/>
      <c r="D31" s="906"/>
      <c r="E31" s="905"/>
      <c r="F31" s="32">
        <f>F29</f>
        <v>0</v>
      </c>
      <c r="G31" s="32">
        <f>G29+F31</f>
        <v>0</v>
      </c>
      <c r="H31" s="32">
        <f t="shared" ref="H31:O31" si="4">H29+G31</f>
        <v>0</v>
      </c>
      <c r="I31" s="32">
        <f t="shared" si="4"/>
        <v>0</v>
      </c>
      <c r="J31" s="32">
        <f t="shared" si="4"/>
        <v>0</v>
      </c>
      <c r="K31" s="32">
        <f t="shared" si="4"/>
        <v>0</v>
      </c>
      <c r="L31" s="32">
        <f t="shared" si="4"/>
        <v>0</v>
      </c>
      <c r="M31" s="32">
        <f t="shared" si="4"/>
        <v>0</v>
      </c>
      <c r="N31" s="32">
        <f t="shared" si="4"/>
        <v>0</v>
      </c>
      <c r="O31" s="32">
        <f t="shared" si="4"/>
        <v>0</v>
      </c>
      <c r="P31" s="584"/>
    </row>
    <row r="32" spans="2:18" ht="15.75" thickBot="1" x14ac:dyDescent="0.3">
      <c r="B32" s="907" t="s">
        <v>1161</v>
      </c>
      <c r="C32" s="908"/>
      <c r="D32" s="908"/>
      <c r="E32" s="909"/>
      <c r="F32" s="33" t="e">
        <f>F30</f>
        <v>#DIV/0!</v>
      </c>
      <c r="G32" s="33" t="e">
        <f>F32+G30</f>
        <v>#DIV/0!</v>
      </c>
      <c r="H32" s="33" t="e">
        <f t="shared" ref="H32:O32" si="5">G32+H30</f>
        <v>#DIV/0!</v>
      </c>
      <c r="I32" s="33" t="e">
        <f t="shared" si="5"/>
        <v>#DIV/0!</v>
      </c>
      <c r="J32" s="33" t="e">
        <f t="shared" si="5"/>
        <v>#DIV/0!</v>
      </c>
      <c r="K32" s="33" t="e">
        <f t="shared" si="5"/>
        <v>#DIV/0!</v>
      </c>
      <c r="L32" s="33" t="e">
        <f t="shared" si="5"/>
        <v>#DIV/0!</v>
      </c>
      <c r="M32" s="33" t="e">
        <f t="shared" si="5"/>
        <v>#DIV/0!</v>
      </c>
      <c r="N32" s="33" t="e">
        <f t="shared" si="5"/>
        <v>#DIV/0!</v>
      </c>
      <c r="O32" s="33" t="e">
        <f t="shared" si="5"/>
        <v>#DIV/0!</v>
      </c>
      <c r="P32" s="585"/>
    </row>
    <row r="33" spans="2:16" ht="18" customHeight="1" x14ac:dyDescent="0.25">
      <c r="B33" s="539"/>
      <c r="C33" s="538"/>
      <c r="D33" s="538"/>
      <c r="E33" s="538"/>
      <c r="F33" s="538"/>
      <c r="G33" s="538"/>
      <c r="H33" s="538"/>
      <c r="I33" s="538"/>
      <c r="J33" s="538"/>
      <c r="K33" s="538"/>
      <c r="L33" s="538"/>
      <c r="M33" s="538"/>
      <c r="N33" s="538"/>
      <c r="O33" s="538"/>
      <c r="P33" s="540"/>
    </row>
    <row r="34" spans="2:16" ht="15" customHeight="1" thickBot="1" x14ac:dyDescent="0.3">
      <c r="B34" s="541"/>
      <c r="C34" s="518"/>
      <c r="D34" s="518"/>
      <c r="E34" s="518"/>
      <c r="F34" s="518"/>
      <c r="G34" s="543" t="s">
        <v>1162</v>
      </c>
      <c r="H34" s="543"/>
      <c r="I34" s="543"/>
      <c r="J34" s="543"/>
      <c r="K34" s="543"/>
      <c r="L34" s="518"/>
      <c r="M34" s="518"/>
      <c r="N34" s="518"/>
      <c r="O34" s="518"/>
      <c r="P34" s="537"/>
    </row>
    <row r="35" spans="2:16" ht="15" customHeight="1" x14ac:dyDescent="0.25">
      <c r="B35" s="541"/>
      <c r="C35" s="518"/>
      <c r="D35" s="518"/>
      <c r="E35" s="518"/>
      <c r="F35" s="518"/>
      <c r="G35" s="900"/>
      <c r="H35" s="900"/>
      <c r="I35" s="900"/>
      <c r="J35" s="900"/>
      <c r="K35" s="900"/>
      <c r="L35" s="518"/>
      <c r="M35" s="518"/>
      <c r="N35" s="518"/>
      <c r="O35" s="518"/>
      <c r="P35" s="537"/>
    </row>
    <row r="36" spans="2:16" ht="15.75" customHeight="1" x14ac:dyDescent="0.25">
      <c r="B36" s="541"/>
      <c r="C36" s="518"/>
      <c r="D36" s="518"/>
      <c r="E36" s="518"/>
      <c r="F36" s="518"/>
      <c r="G36" s="518"/>
      <c r="H36" s="877" t="s">
        <v>1103</v>
      </c>
      <c r="I36" s="877"/>
      <c r="J36" s="877"/>
      <c r="K36" s="518"/>
      <c r="L36" s="518"/>
      <c r="M36" s="518"/>
      <c r="N36" s="518"/>
      <c r="O36" s="518"/>
      <c r="P36" s="537"/>
    </row>
    <row r="37" spans="2:16" ht="15.75" customHeight="1" x14ac:dyDescent="0.25">
      <c r="B37" s="541"/>
      <c r="C37" s="518"/>
      <c r="D37" s="518"/>
      <c r="E37" s="518"/>
      <c r="F37" s="518"/>
      <c r="G37" s="518"/>
      <c r="H37" s="896" t="s">
        <v>1163</v>
      </c>
      <c r="I37" s="896"/>
      <c r="J37" s="896"/>
      <c r="K37" s="518"/>
      <c r="L37" s="518"/>
      <c r="M37" s="518"/>
      <c r="N37" s="518"/>
      <c r="O37" s="518"/>
      <c r="P37" s="537"/>
    </row>
    <row r="38" spans="2:16" ht="15" customHeight="1" thickBot="1" x14ac:dyDescent="0.3">
      <c r="B38" s="542"/>
      <c r="C38" s="543"/>
      <c r="D38" s="543"/>
      <c r="E38" s="543"/>
      <c r="F38" s="543"/>
      <c r="G38" s="543"/>
      <c r="H38" s="648"/>
      <c r="I38" s="648"/>
      <c r="J38" s="648"/>
      <c r="K38" s="543"/>
      <c r="L38" s="543"/>
      <c r="M38" s="543"/>
      <c r="N38" s="543"/>
      <c r="O38" s="543"/>
      <c r="P38" s="544"/>
    </row>
    <row r="41" spans="2:16" x14ac:dyDescent="0.25">
      <c r="B41" s="575"/>
      <c r="C41" s="575"/>
      <c r="D41" s="575"/>
      <c r="E41" s="575"/>
      <c r="F41" s="560"/>
      <c r="G41" s="560"/>
      <c r="H41" s="560"/>
      <c r="I41" s="560"/>
    </row>
    <row r="42" spans="2:16" x14ac:dyDescent="0.25">
      <c r="B42" s="575"/>
      <c r="C42" s="575"/>
      <c r="D42" s="575"/>
      <c r="E42" s="575"/>
      <c r="F42" s="558"/>
      <c r="G42" s="558"/>
      <c r="H42" s="558"/>
      <c r="I42" s="559"/>
      <c r="M42" s="426"/>
      <c r="N42" s="555"/>
    </row>
    <row r="43" spans="2:16" x14ac:dyDescent="0.25">
      <c r="B43" s="560"/>
      <c r="D43" s="561"/>
      <c r="E43" s="562"/>
      <c r="F43" s="563"/>
      <c r="G43" s="563"/>
      <c r="H43" s="564"/>
      <c r="I43" s="565"/>
    </row>
    <row r="44" spans="2:16" x14ac:dyDescent="0.25">
      <c r="B44" s="560"/>
      <c r="D44" s="561"/>
      <c r="E44" s="562"/>
      <c r="F44" s="563"/>
      <c r="G44" s="563"/>
      <c r="H44" s="564"/>
      <c r="I44" s="565"/>
      <c r="N44" s="555"/>
    </row>
    <row r="45" spans="2:16" x14ac:dyDescent="0.25">
      <c r="B45" s="560"/>
      <c r="D45" s="561"/>
      <c r="E45" s="562"/>
      <c r="F45" s="563"/>
      <c r="G45" s="564"/>
      <c r="H45" s="564"/>
      <c r="I45" s="565"/>
    </row>
    <row r="46" spans="2:16" x14ac:dyDescent="0.25">
      <c r="B46" s="560"/>
      <c r="D46" s="561"/>
      <c r="E46" s="562"/>
      <c r="F46" s="564"/>
      <c r="G46" s="563"/>
      <c r="H46" s="564"/>
      <c r="I46" s="565"/>
    </row>
    <row r="47" spans="2:16" x14ac:dyDescent="0.25">
      <c r="B47" s="560"/>
      <c r="D47" s="561"/>
      <c r="E47" s="562"/>
      <c r="F47" s="563"/>
      <c r="G47" s="563"/>
      <c r="H47" s="564"/>
      <c r="I47" s="565"/>
    </row>
    <row r="48" spans="2:16" x14ac:dyDescent="0.25">
      <c r="B48" s="560"/>
      <c r="D48" s="561"/>
      <c r="E48" s="562"/>
      <c r="F48" s="564"/>
      <c r="G48" s="564"/>
      <c r="H48" s="564"/>
      <c r="I48" s="565"/>
    </row>
    <row r="49" spans="2:9" x14ac:dyDescent="0.25">
      <c r="B49" s="558"/>
      <c r="C49" s="558"/>
      <c r="D49" s="561"/>
      <c r="E49" s="566"/>
      <c r="F49" s="567"/>
      <c r="G49" s="567"/>
      <c r="H49" s="564"/>
      <c r="I49" s="579"/>
    </row>
    <row r="50" spans="2:9" x14ac:dyDescent="0.25">
      <c r="B50" s="568"/>
      <c r="C50" s="558"/>
      <c r="D50" s="569"/>
      <c r="E50" s="560"/>
      <c r="F50" s="570"/>
      <c r="G50" s="571"/>
      <c r="H50" s="572"/>
      <c r="I50" s="579"/>
    </row>
    <row r="51" spans="2:9" x14ac:dyDescent="0.25">
      <c r="B51" s="560"/>
      <c r="C51" s="560"/>
      <c r="D51" s="560"/>
      <c r="E51" s="560"/>
      <c r="F51" s="573"/>
      <c r="G51" s="573"/>
      <c r="H51" s="564"/>
      <c r="I51" s="579"/>
    </row>
    <row r="52" spans="2:9" x14ac:dyDescent="0.25">
      <c r="B52" s="560"/>
      <c r="C52" s="560"/>
      <c r="D52" s="560"/>
      <c r="E52" s="560"/>
      <c r="F52" s="571"/>
      <c r="G52" s="571"/>
      <c r="H52" s="564"/>
      <c r="I52" s="579"/>
    </row>
    <row r="53" spans="2:9" x14ac:dyDescent="0.25">
      <c r="B53" s="560"/>
      <c r="C53" s="560"/>
      <c r="D53" s="560"/>
      <c r="E53" s="560"/>
      <c r="F53" s="574"/>
      <c r="G53" s="574"/>
      <c r="H53" s="564"/>
      <c r="I53" s="579"/>
    </row>
    <row r="54" spans="2:9" x14ac:dyDescent="0.25">
      <c r="B54" s="576"/>
      <c r="C54" s="576"/>
      <c r="D54" s="576"/>
      <c r="E54" s="576"/>
      <c r="F54" s="576"/>
      <c r="G54" s="576"/>
      <c r="H54"/>
      <c r="I54" s="578"/>
    </row>
    <row r="55" spans="2:9" x14ac:dyDescent="0.25">
      <c r="B55" s="576"/>
      <c r="C55" s="576"/>
      <c r="D55" s="576"/>
      <c r="E55" s="576"/>
      <c r="F55" s="576"/>
      <c r="G55" s="576"/>
      <c r="H55"/>
      <c r="I55" s="578"/>
    </row>
    <row r="56" spans="2:9" x14ac:dyDescent="0.25">
      <c r="B56" s="577"/>
      <c r="C56" s="577"/>
      <c r="D56" s="577"/>
      <c r="E56" s="577"/>
      <c r="F56" s="577"/>
      <c r="G56" s="577"/>
      <c r="H56"/>
      <c r="I56" s="578"/>
    </row>
    <row r="57" spans="2:9" x14ac:dyDescent="0.25">
      <c r="B57" s="577"/>
      <c r="C57" s="577"/>
      <c r="D57" s="577"/>
      <c r="E57" s="577"/>
      <c r="F57" s="577"/>
      <c r="G57" s="577"/>
      <c r="H57"/>
      <c r="I57" s="578"/>
    </row>
    <row r="58" spans="2:9" x14ac:dyDescent="0.25">
      <c r="B58" s="577"/>
      <c r="C58" s="577"/>
      <c r="D58" s="577"/>
      <c r="E58" s="577"/>
      <c r="F58" s="577"/>
      <c r="G58" s="577"/>
      <c r="H58"/>
      <c r="I58" s="578"/>
    </row>
  </sheetData>
  <mergeCells count="16">
    <mergeCell ref="H36:J36"/>
    <mergeCell ref="H37:J37"/>
    <mergeCell ref="B7:C7"/>
    <mergeCell ref="F6:O6"/>
    <mergeCell ref="G35:K35"/>
    <mergeCell ref="B6:E6"/>
    <mergeCell ref="B28:C28"/>
    <mergeCell ref="B29:C29"/>
    <mergeCell ref="B30:E30"/>
    <mergeCell ref="B31:E31"/>
    <mergeCell ref="B32:E32"/>
    <mergeCell ref="B5:P5"/>
    <mergeCell ref="B1:P1"/>
    <mergeCell ref="C2:P2"/>
    <mergeCell ref="C3:P3"/>
    <mergeCell ref="B4:P4"/>
  </mergeCells>
  <pageMargins left="0.511811024" right="0.511811024" top="0.78740157499999996" bottom="0.78740157499999996" header="0.31496062000000002" footer="0.31496062000000002"/>
  <pageSetup paperSize="9" scale="55" fitToHeight="0" orientation="landscape" verticalDpi="300" r:id="rId1"/>
  <colBreaks count="1" manualBreakCount="1">
    <brk id="10" max="36"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3</vt:i4>
      </vt:variant>
      <vt:variant>
        <vt:lpstr>Intervalos Nomeados</vt:lpstr>
      </vt:variant>
      <vt:variant>
        <vt:i4>3</vt:i4>
      </vt:variant>
    </vt:vector>
  </HeadingPairs>
  <TitlesOfParts>
    <vt:vector size="6" baseType="lpstr">
      <vt:lpstr>MEMÓRIA DE CÁLCULO</vt:lpstr>
      <vt:lpstr>ORÇAMENTO </vt:lpstr>
      <vt:lpstr>CRONOGRAMA</vt:lpstr>
      <vt:lpstr>CRONOGRAMA!Area_de_impressao</vt:lpstr>
      <vt:lpstr>'MEMÓRIA DE CÁLCULO'!Area_de_impressao</vt:lpstr>
      <vt:lpstr>'ORÇAMENTO '!Area_de_impressao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Usuário do Windows</dc:creator>
  <cp:keywords/>
  <dc:description/>
  <cp:lastModifiedBy>Drielid Rocha</cp:lastModifiedBy>
  <cp:revision/>
  <cp:lastPrinted>2022-12-16T14:34:45Z</cp:lastPrinted>
  <dcterms:created xsi:type="dcterms:W3CDTF">2017-11-14T15:22:18Z</dcterms:created>
  <dcterms:modified xsi:type="dcterms:W3CDTF">2023-01-25T19:55:03Z</dcterms:modified>
  <cp:category/>
  <cp:contentStatus/>
</cp:coreProperties>
</file>