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909559c73102cec3/Secretaria Municipal de Educação Catalão/2 - Processos em ANDAMENTO/CMEI EVA FRANCISCA/01 PDF PROCESSO/"/>
    </mc:Choice>
  </mc:AlternateContent>
  <xr:revisionPtr revIDLastSave="51" documentId="11_90A215D9E79615D66316E1AE020D0B4C2A64F3F0" xr6:coauthVersionLast="47" xr6:coauthVersionMax="47" xr10:uidLastSave="{C5E22C9C-A3A8-44CC-855B-78BEC7706506}"/>
  <workbookProtection workbookAlgorithmName="SHA-512" workbookHashValue="8iHx3nPw9sX3wCHV8faPMduJD4an9dV+yOnG6515tpJh4PqF/SoOWc05wUeXzikbCiRGQRY9L5f9SQItTc5MyQ==" workbookSaltValue="whutZIe+e03hz0VWlyPKjA==" workbookSpinCount="100000" lockStructure="1"/>
  <bookViews>
    <workbookView xWindow="-120" yWindow="-120" windowWidth="20730" windowHeight="11160" tabRatio="507" activeTab="2" xr2:uid="{00000000-000D-0000-FFFF-FFFF00000000}"/>
  </bookViews>
  <sheets>
    <sheet name="MEMÓRIA DE CÁLCULO" sheetId="6" r:id="rId1"/>
    <sheet name="ORÇAMENTO " sheetId="5" r:id="rId2"/>
    <sheet name="COTAÇÕES" sheetId="8" r:id="rId3"/>
    <sheet name="COMPOSIÇÕES" sheetId="7" r:id="rId4"/>
  </sheets>
  <definedNames>
    <definedName name="_xlnm.Print_Area" localSheetId="3">COMPOSIÇÕES!$A$1:$I$81</definedName>
    <definedName name="_xlnm.Print_Area" localSheetId="2">COTAÇÕES!$A$1:$F$83</definedName>
    <definedName name="_xlnm.Print_Area" localSheetId="0">'MEMÓRIA DE CÁLCULO'!$A$1:$I$604</definedName>
    <definedName name="_xlnm.Print_Area" localSheetId="1">'ORÇAMENTO '!$B$1:$J$228</definedName>
    <definedName name="VALOR_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H559" i="6"/>
  <c r="E176" i="5" l="1"/>
  <c r="D176" i="5"/>
  <c r="H474" i="6"/>
  <c r="H473" i="6" s="1"/>
  <c r="G176" i="5" s="1"/>
  <c r="J176" i="5" s="1"/>
  <c r="H539" i="6"/>
  <c r="H534" i="6"/>
  <c r="F222" i="6"/>
  <c r="F123" i="6"/>
  <c r="H123" i="6" s="1"/>
  <c r="F122" i="6"/>
  <c r="H122" i="6" s="1"/>
  <c r="F121" i="6"/>
  <c r="H121" i="6" s="1"/>
  <c r="F120" i="6"/>
  <c r="H120" i="6" s="1"/>
  <c r="F119" i="6"/>
  <c r="H119" i="6" s="1"/>
  <c r="F118" i="6"/>
  <c r="H118" i="6" s="1"/>
  <c r="F117" i="6"/>
  <c r="H117" i="6" s="1"/>
  <c r="F116" i="6"/>
  <c r="H116" i="6" s="1"/>
  <c r="F115" i="6"/>
  <c r="H115" i="6" s="1"/>
  <c r="F114" i="6"/>
  <c r="H114" i="6" s="1"/>
  <c r="F113" i="6"/>
  <c r="H113" i="6" s="1"/>
  <c r="F112" i="6"/>
  <c r="H112" i="6" s="1"/>
  <c r="F111" i="6"/>
  <c r="H111" i="6" s="1"/>
  <c r="F110" i="6"/>
  <c r="H110" i="6" s="1"/>
  <c r="H90" i="6"/>
  <c r="H86" i="6"/>
  <c r="D214" i="5"/>
  <c r="D159" i="5"/>
  <c r="E159" i="5"/>
  <c r="F47" i="6"/>
  <c r="F54" i="6"/>
  <c r="F41" i="6"/>
  <c r="F35" i="6"/>
  <c r="F38" i="6"/>
  <c r="F167" i="6"/>
  <c r="H167" i="6" s="1"/>
  <c r="F166" i="6"/>
  <c r="H166" i="6" s="1"/>
  <c r="F165" i="6"/>
  <c r="H165" i="6" s="1"/>
  <c r="F164" i="6"/>
  <c r="H164" i="6" s="1"/>
  <c r="F163" i="6"/>
  <c r="H163" i="6" s="1"/>
  <c r="F162" i="6"/>
  <c r="H162" i="6" s="1"/>
  <c r="F161" i="6"/>
  <c r="H161" i="6" s="1"/>
  <c r="F160" i="6"/>
  <c r="H160" i="6" s="1"/>
  <c r="F159" i="6"/>
  <c r="H159" i="6" s="1"/>
  <c r="F158" i="6"/>
  <c r="H158" i="6" s="1"/>
  <c r="F157" i="6"/>
  <c r="H157" i="6" s="1"/>
  <c r="F156" i="6"/>
  <c r="H156" i="6" s="1"/>
  <c r="F155" i="6"/>
  <c r="H155" i="6" s="1"/>
  <c r="F154" i="6"/>
  <c r="H154" i="6" s="1"/>
  <c r="F57" i="6"/>
  <c r="H153" i="6" l="1"/>
  <c r="H109" i="6"/>
  <c r="F454" i="6"/>
  <c r="H414" i="6"/>
  <c r="E53" i="5"/>
  <c r="D47" i="5"/>
  <c r="H410" i="6"/>
  <c r="H407" i="6"/>
  <c r="H402" i="6"/>
  <c r="H401" i="6"/>
  <c r="H577" i="6"/>
  <c r="H562" i="6"/>
  <c r="H513" i="6"/>
  <c r="H502" i="6"/>
  <c r="H491" i="6"/>
  <c r="H470" i="6"/>
  <c r="H436" i="6"/>
  <c r="H435" i="6"/>
  <c r="H434" i="6"/>
  <c r="H433" i="6"/>
  <c r="H432" i="6"/>
  <c r="H431" i="6"/>
  <c r="H430" i="6"/>
  <c r="H429" i="6"/>
  <c r="H428" i="6"/>
  <c r="H427" i="6"/>
  <c r="H403" i="6"/>
  <c r="H404" i="6"/>
  <c r="H405" i="6"/>
  <c r="H406" i="6"/>
  <c r="H408" i="6"/>
  <c r="H409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F126" i="6"/>
  <c r="H126" i="6" s="1"/>
  <c r="F138" i="6"/>
  <c r="F170" i="6"/>
  <c r="F182" i="6"/>
  <c r="F203" i="6"/>
  <c r="H203" i="6" s="1"/>
  <c r="F202" i="6"/>
  <c r="H202" i="6" s="1"/>
  <c r="F201" i="6"/>
  <c r="H201" i="6" s="1"/>
  <c r="F200" i="6"/>
  <c r="H200" i="6" s="1"/>
  <c r="F148" i="6"/>
  <c r="H148" i="6" s="1"/>
  <c r="F147" i="6"/>
  <c r="H147" i="6" s="1"/>
  <c r="F136" i="6"/>
  <c r="H136" i="6" s="1"/>
  <c r="F135" i="6"/>
  <c r="H135" i="6" s="1"/>
  <c r="F192" i="6"/>
  <c r="H192" i="6" s="1"/>
  <c r="F191" i="6"/>
  <c r="H191" i="6" s="1"/>
  <c r="F180" i="6"/>
  <c r="H180" i="6" s="1"/>
  <c r="F179" i="6"/>
  <c r="H179" i="6" s="1"/>
  <c r="H85" i="6"/>
  <c r="H84" i="6"/>
  <c r="H83" i="6" s="1"/>
  <c r="H220" i="6"/>
  <c r="F199" i="6"/>
  <c r="H199" i="6" s="1"/>
  <c r="F194" i="6"/>
  <c r="H194" i="6" s="1"/>
  <c r="H193" i="6" s="1"/>
  <c r="F150" i="6"/>
  <c r="H150" i="6" s="1"/>
  <c r="H149" i="6" s="1"/>
  <c r="F95" i="6"/>
  <c r="F100" i="6"/>
  <c r="F92" i="6"/>
  <c r="F93" i="6"/>
  <c r="H89" i="6"/>
  <c r="H88" i="6"/>
  <c r="H87" i="6" s="1"/>
  <c r="F64" i="6"/>
  <c r="H29" i="6"/>
  <c r="H27" i="6" s="1"/>
  <c r="H54" i="6"/>
  <c r="H52" i="6" s="1"/>
  <c r="F44" i="6"/>
  <c r="H44" i="6" s="1"/>
  <c r="H41" i="6"/>
  <c r="H448" i="6"/>
  <c r="H443" i="6"/>
  <c r="H459" i="6"/>
  <c r="E149" i="5"/>
  <c r="D149" i="5"/>
  <c r="E165" i="5"/>
  <c r="D165" i="5"/>
  <c r="H458" i="6"/>
  <c r="H457" i="6"/>
  <c r="H456" i="6"/>
  <c r="H455" i="6" l="1"/>
  <c r="H400" i="6"/>
  <c r="H426" i="6"/>
  <c r="H413" i="6"/>
  <c r="G149" i="5" s="1"/>
  <c r="J149" i="5" s="1"/>
  <c r="G165" i="5"/>
  <c r="J165" i="5" s="1"/>
  <c r="H38" i="6"/>
  <c r="H36" i="6" s="1"/>
  <c r="H72" i="7"/>
  <c r="F73" i="7"/>
  <c r="G73" i="7"/>
  <c r="E142" i="5"/>
  <c r="J100" i="5"/>
  <c r="H378" i="6"/>
  <c r="H376" i="6"/>
  <c r="H374" i="6"/>
  <c r="H364" i="6"/>
  <c r="H362" i="6"/>
  <c r="H356" i="6"/>
  <c r="H352" i="6"/>
  <c r="H339" i="6"/>
  <c r="H338" i="6" s="1"/>
  <c r="H337" i="6"/>
  <c r="H336" i="6" s="1"/>
  <c r="F77" i="6"/>
  <c r="F72" i="6"/>
  <c r="H250" i="6"/>
  <c r="H249" i="6" s="1"/>
  <c r="H248" i="6"/>
  <c r="H247" i="6" s="1"/>
  <c r="H40" i="7"/>
  <c r="H67" i="7"/>
  <c r="H68" i="7"/>
  <c r="H47" i="7"/>
  <c r="H11" i="7" l="1"/>
  <c r="D57" i="7"/>
  <c r="H39" i="7"/>
  <c r="E78" i="8"/>
  <c r="E64" i="8"/>
  <c r="F35" i="7" s="1"/>
  <c r="H35" i="7" s="1"/>
  <c r="E22" i="8"/>
  <c r="D108" i="5"/>
  <c r="D86" i="5"/>
  <c r="E48" i="5" l="1"/>
  <c r="D48" i="5"/>
  <c r="F48" i="5"/>
  <c r="F47" i="5"/>
  <c r="E47" i="5"/>
  <c r="E38" i="5"/>
  <c r="E39" i="5"/>
  <c r="E40" i="5"/>
  <c r="E41" i="5"/>
  <c r="E42" i="5"/>
  <c r="E43" i="5"/>
  <c r="E44" i="5"/>
  <c r="E45" i="5"/>
  <c r="E46" i="5"/>
  <c r="H222" i="6"/>
  <c r="H221" i="6" s="1"/>
  <c r="F60" i="6"/>
  <c r="H60" i="6" s="1"/>
  <c r="H58" i="6" s="1"/>
  <c r="F51" i="6"/>
  <c r="H51" i="6" s="1"/>
  <c r="H47" i="6"/>
  <c r="H39" i="6"/>
  <c r="H35" i="6"/>
  <c r="H33" i="6" s="1"/>
  <c r="F26" i="6"/>
  <c r="H26" i="6" s="1"/>
  <c r="H24" i="6" s="1"/>
  <c r="G48" i="5" l="1"/>
  <c r="J48" i="5" s="1"/>
  <c r="F50" i="7"/>
  <c r="G50" i="7"/>
  <c r="G42" i="7"/>
  <c r="F30" i="7"/>
  <c r="G30" i="7"/>
  <c r="G22" i="7"/>
  <c r="G14" i="7"/>
  <c r="E201" i="5"/>
  <c r="D201" i="5"/>
  <c r="E189" i="5"/>
  <c r="H349" i="6"/>
  <c r="H348" i="6" s="1"/>
  <c r="E134" i="5"/>
  <c r="E135" i="5"/>
  <c r="E136" i="5"/>
  <c r="D134" i="5"/>
  <c r="D135" i="5"/>
  <c r="D136" i="5"/>
  <c r="D45" i="5"/>
  <c r="D46" i="5"/>
  <c r="H13" i="6"/>
  <c r="H12" i="6" s="1"/>
  <c r="F549" i="6"/>
  <c r="H549" i="6" s="1"/>
  <c r="F547" i="6"/>
  <c r="F545" i="6"/>
  <c r="F543" i="6"/>
  <c r="H543" i="6" s="1"/>
  <c r="H548" i="6" l="1"/>
  <c r="G201" i="5" s="1"/>
  <c r="J201" i="5" s="1"/>
  <c r="H420" i="6"/>
  <c r="H421" i="6"/>
  <c r="H419" i="6"/>
  <c r="H246" i="6"/>
  <c r="H245" i="6" s="1"/>
  <c r="H234" i="6"/>
  <c r="H233" i="6" s="1"/>
  <c r="F190" i="6"/>
  <c r="H190" i="6" s="1"/>
  <c r="F189" i="6"/>
  <c r="H189" i="6" s="1"/>
  <c r="F188" i="6"/>
  <c r="H188" i="6" s="1"/>
  <c r="F187" i="6"/>
  <c r="H187" i="6" s="1"/>
  <c r="F186" i="6"/>
  <c r="H186" i="6" s="1"/>
  <c r="F185" i="6"/>
  <c r="H185" i="6" s="1"/>
  <c r="F184" i="6"/>
  <c r="H184" i="6" s="1"/>
  <c r="F183" i="6"/>
  <c r="H183" i="6" s="1"/>
  <c r="H182" i="6"/>
  <c r="F178" i="6"/>
  <c r="H178" i="6" s="1"/>
  <c r="F177" i="6"/>
  <c r="H177" i="6" s="1"/>
  <c r="F176" i="6"/>
  <c r="H176" i="6" s="1"/>
  <c r="F175" i="6"/>
  <c r="H175" i="6" s="1"/>
  <c r="F174" i="6"/>
  <c r="H174" i="6" s="1"/>
  <c r="F173" i="6"/>
  <c r="H173" i="6" s="1"/>
  <c r="F172" i="6"/>
  <c r="H172" i="6" s="1"/>
  <c r="F171" i="6"/>
  <c r="H171" i="6" s="1"/>
  <c r="H170" i="6"/>
  <c r="G152" i="6"/>
  <c r="F152" i="6"/>
  <c r="F146" i="6"/>
  <c r="H146" i="6" s="1"/>
  <c r="F145" i="6"/>
  <c r="H145" i="6" s="1"/>
  <c r="F144" i="6"/>
  <c r="H144" i="6" s="1"/>
  <c r="F143" i="6"/>
  <c r="H143" i="6" s="1"/>
  <c r="F142" i="6"/>
  <c r="H142" i="6" s="1"/>
  <c r="F141" i="6"/>
  <c r="H141" i="6" s="1"/>
  <c r="F140" i="6"/>
  <c r="H140" i="6" s="1"/>
  <c r="F139" i="6"/>
  <c r="H139" i="6" s="1"/>
  <c r="H138" i="6"/>
  <c r="F132" i="6"/>
  <c r="H132" i="6" s="1"/>
  <c r="F133" i="6"/>
  <c r="H133" i="6" s="1"/>
  <c r="F134" i="6"/>
  <c r="H134" i="6" s="1"/>
  <c r="F131" i="6"/>
  <c r="H131" i="6" s="1"/>
  <c r="F130" i="6"/>
  <c r="H130" i="6" s="1"/>
  <c r="F129" i="6"/>
  <c r="H129" i="6" s="1"/>
  <c r="F128" i="6"/>
  <c r="H128" i="6" s="1"/>
  <c r="F127" i="6"/>
  <c r="H127" i="6" s="1"/>
  <c r="G108" i="6"/>
  <c r="F106" i="6"/>
  <c r="H106" i="6" s="1"/>
  <c r="H105" i="6" s="1"/>
  <c r="F104" i="6"/>
  <c r="H104" i="6" s="1"/>
  <c r="F103" i="6"/>
  <c r="H103" i="6" s="1"/>
  <c r="H98" i="6"/>
  <c r="H97" i="6" s="1"/>
  <c r="F101" i="6"/>
  <c r="H101" i="6" s="1"/>
  <c r="F96" i="6"/>
  <c r="H96" i="6" s="1"/>
  <c r="H93" i="6"/>
  <c r="H92" i="6"/>
  <c r="F198" i="6"/>
  <c r="H198" i="6" s="1"/>
  <c r="F197" i="6"/>
  <c r="H197" i="6" s="1"/>
  <c r="F196" i="6"/>
  <c r="H102" i="6" l="1"/>
  <c r="H181" i="6"/>
  <c r="H125" i="6"/>
  <c r="H91" i="6"/>
  <c r="H169" i="6"/>
  <c r="H137" i="6"/>
  <c r="G40" i="5"/>
  <c r="G43" i="5"/>
  <c r="H418" i="6"/>
  <c r="H152" i="6"/>
  <c r="H151" i="6" s="1"/>
  <c r="G42" i="5"/>
  <c r="G38" i="5" l="1"/>
  <c r="H77" i="6"/>
  <c r="H76" i="6" s="1"/>
  <c r="H72" i="6"/>
  <c r="H71" i="6" s="1"/>
  <c r="H64" i="6"/>
  <c r="H80" i="6"/>
  <c r="H81" i="6"/>
  <c r="H82" i="6"/>
  <c r="H79" i="6"/>
  <c r="H75" i="6"/>
  <c r="H74" i="6"/>
  <c r="H67" i="6"/>
  <c r="H68" i="6"/>
  <c r="H69" i="6"/>
  <c r="H70" i="6"/>
  <c r="H66" i="6"/>
  <c r="H65" i="6" l="1"/>
  <c r="H73" i="6"/>
  <c r="H78" i="6"/>
  <c r="H15" i="6"/>
  <c r="H14" i="6" s="1"/>
  <c r="H397" i="6"/>
  <c r="H396" i="6" s="1"/>
  <c r="F21" i="6"/>
  <c r="H21" i="6" s="1"/>
  <c r="H63" i="6" l="1"/>
  <c r="G37" i="5"/>
  <c r="H354" i="6"/>
  <c r="H353" i="6" s="1"/>
  <c r="G118" i="5" s="1"/>
  <c r="H282" i="6"/>
  <c r="H281" i="6" s="1"/>
  <c r="H296" i="6"/>
  <c r="H295" i="6" s="1"/>
  <c r="H377" i="6"/>
  <c r="H347" i="6"/>
  <c r="H346" i="6" s="1"/>
  <c r="H547" i="6"/>
  <c r="H546" i="6" s="1"/>
  <c r="H472" i="6"/>
  <c r="H471" i="6" s="1"/>
  <c r="H587" i="6"/>
  <c r="H490" i="6"/>
  <c r="H489" i="6"/>
  <c r="H488" i="6"/>
  <c r="H487" i="6"/>
  <c r="H486" i="6"/>
  <c r="H485" i="6"/>
  <c r="H484" i="6"/>
  <c r="H483" i="6"/>
  <c r="H482" i="6"/>
  <c r="H501" i="6"/>
  <c r="H500" i="6"/>
  <c r="H499" i="6"/>
  <c r="H498" i="6"/>
  <c r="H497" i="6"/>
  <c r="H496" i="6"/>
  <c r="H495" i="6"/>
  <c r="H494" i="6"/>
  <c r="H493" i="6"/>
  <c r="H512" i="6"/>
  <c r="H511" i="6"/>
  <c r="H510" i="6"/>
  <c r="H509" i="6"/>
  <c r="H508" i="6"/>
  <c r="H507" i="6"/>
  <c r="H506" i="6"/>
  <c r="H505" i="6"/>
  <c r="H504" i="6"/>
  <c r="H560" i="6"/>
  <c r="H526" i="6"/>
  <c r="H469" i="6"/>
  <c r="H468" i="6" s="1"/>
  <c r="H447" i="6"/>
  <c r="H446" i="6"/>
  <c r="H445" i="6"/>
  <c r="H442" i="6"/>
  <c r="H441" i="6"/>
  <c r="H440" i="6"/>
  <c r="H219" i="6"/>
  <c r="H218" i="6"/>
  <c r="H217" i="6"/>
  <c r="H561" i="6"/>
  <c r="H479" i="6"/>
  <c r="H478" i="6"/>
  <c r="H480" i="6"/>
  <c r="H575" i="6"/>
  <c r="H557" i="6"/>
  <c r="H571" i="6"/>
  <c r="H572" i="6"/>
  <c r="H573" i="6"/>
  <c r="H574" i="6"/>
  <c r="H576" i="6"/>
  <c r="H579" i="6"/>
  <c r="H580" i="6"/>
  <c r="H581" i="6"/>
  <c r="H569" i="6"/>
  <c r="H568" i="6"/>
  <c r="H590" i="6"/>
  <c r="H566" i="6"/>
  <c r="H565" i="6"/>
  <c r="H564" i="6"/>
  <c r="H553" i="6"/>
  <c r="H554" i="6"/>
  <c r="H555" i="6"/>
  <c r="H556" i="6"/>
  <c r="H558" i="6"/>
  <c r="H412" i="6"/>
  <c r="H411" i="6" s="1"/>
  <c r="D53" i="5"/>
  <c r="F42" i="7"/>
  <c r="H444" i="6" l="1"/>
  <c r="H503" i="6"/>
  <c r="H439" i="6"/>
  <c r="G158" i="5" s="1"/>
  <c r="H216" i="6"/>
  <c r="H492" i="6"/>
  <c r="H477" i="6"/>
  <c r="H578" i="6"/>
  <c r="H552" i="6"/>
  <c r="H570" i="6"/>
  <c r="H563" i="6"/>
  <c r="H481" i="6"/>
  <c r="H567" i="6"/>
  <c r="D82" i="5"/>
  <c r="D28" i="5"/>
  <c r="G47" i="5" l="1"/>
  <c r="J47" i="5" s="1"/>
  <c r="D33" i="5"/>
  <c r="E33" i="5"/>
  <c r="E32" i="5"/>
  <c r="D32" i="5"/>
  <c r="H11" i="6"/>
  <c r="H10" i="6" s="1"/>
  <c r="H49" i="6"/>
  <c r="G30" i="5" s="1"/>
  <c r="D11" i="5"/>
  <c r="D128" i="5"/>
  <c r="D122" i="5"/>
  <c r="H307" i="6"/>
  <c r="H545" i="6"/>
  <c r="H544" i="6" s="1"/>
  <c r="G199" i="5" s="1"/>
  <c r="D189" i="5"/>
  <c r="E188" i="5"/>
  <c r="D188" i="5"/>
  <c r="E187" i="5"/>
  <c r="D187" i="5"/>
  <c r="E207" i="5"/>
  <c r="D207" i="5"/>
  <c r="E206" i="5"/>
  <c r="D206" i="5"/>
  <c r="E211" i="5"/>
  <c r="E212" i="5"/>
  <c r="E213" i="5"/>
  <c r="E214" i="5"/>
  <c r="E215" i="5"/>
  <c r="D215" i="5"/>
  <c r="D211" i="5"/>
  <c r="E205" i="5"/>
  <c r="D205" i="5"/>
  <c r="E200" i="5"/>
  <c r="D200" i="5"/>
  <c r="E199" i="5"/>
  <c r="D199" i="5"/>
  <c r="E198" i="5"/>
  <c r="D198" i="5"/>
  <c r="E194" i="5"/>
  <c r="D194" i="5"/>
  <c r="E193" i="5"/>
  <c r="D193" i="5"/>
  <c r="E183" i="5"/>
  <c r="D183" i="5"/>
  <c r="E182" i="5"/>
  <c r="D182" i="5"/>
  <c r="E181" i="5"/>
  <c r="D181" i="5"/>
  <c r="E180" i="5"/>
  <c r="D180" i="5"/>
  <c r="E175" i="5"/>
  <c r="D175" i="5"/>
  <c r="E174" i="5"/>
  <c r="D174" i="5"/>
  <c r="E170" i="5"/>
  <c r="D170" i="5"/>
  <c r="E169" i="5"/>
  <c r="D169" i="5"/>
  <c r="E164" i="5"/>
  <c r="D164" i="5"/>
  <c r="E163" i="5"/>
  <c r="D163" i="5"/>
  <c r="E158" i="5"/>
  <c r="D158" i="5"/>
  <c r="E153" i="5"/>
  <c r="D153" i="5"/>
  <c r="E148" i="5"/>
  <c r="D148" i="5"/>
  <c r="E147" i="5"/>
  <c r="D147" i="5"/>
  <c r="E143" i="5"/>
  <c r="D143" i="5"/>
  <c r="D142" i="5"/>
  <c r="E141" i="5"/>
  <c r="D141" i="5"/>
  <c r="E140" i="5"/>
  <c r="D140" i="5"/>
  <c r="E139" i="5"/>
  <c r="D139" i="5"/>
  <c r="E133" i="5"/>
  <c r="D133" i="5"/>
  <c r="E132" i="5"/>
  <c r="D132" i="5"/>
  <c r="E131" i="5"/>
  <c r="D131" i="5"/>
  <c r="E130" i="5"/>
  <c r="D130" i="5"/>
  <c r="E129" i="5"/>
  <c r="D129" i="5"/>
  <c r="E128" i="5"/>
  <c r="E127" i="5"/>
  <c r="D127" i="5"/>
  <c r="E126" i="5"/>
  <c r="D126" i="5"/>
  <c r="E125" i="5"/>
  <c r="D125" i="5"/>
  <c r="E124" i="5"/>
  <c r="D124" i="5"/>
  <c r="E123" i="5"/>
  <c r="D123" i="5"/>
  <c r="E122" i="5"/>
  <c r="E121" i="5"/>
  <c r="D121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87" i="5"/>
  <c r="D87" i="5"/>
  <c r="E86" i="5"/>
  <c r="E85" i="5"/>
  <c r="D85" i="5"/>
  <c r="E84" i="5"/>
  <c r="D84" i="5"/>
  <c r="E83" i="5"/>
  <c r="D83" i="5"/>
  <c r="E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2" i="5"/>
  <c r="D44" i="5"/>
  <c r="D43" i="5"/>
  <c r="D42" i="5"/>
  <c r="D41" i="5"/>
  <c r="D40" i="5"/>
  <c r="D39" i="5"/>
  <c r="D38" i="5"/>
  <c r="E37" i="5"/>
  <c r="D37" i="5"/>
  <c r="E31" i="5"/>
  <c r="D31" i="5"/>
  <c r="E30" i="5"/>
  <c r="D30" i="5"/>
  <c r="E29" i="5"/>
  <c r="D29" i="5"/>
  <c r="E28" i="5"/>
  <c r="E27" i="5"/>
  <c r="D27" i="5"/>
  <c r="E26" i="5"/>
  <c r="D26" i="5"/>
  <c r="E25" i="5"/>
  <c r="D25" i="5"/>
  <c r="E21" i="5"/>
  <c r="D21" i="5"/>
  <c r="E20" i="5"/>
  <c r="D20" i="5"/>
  <c r="E16" i="5"/>
  <c r="D16" i="5"/>
  <c r="E12" i="5"/>
  <c r="D12" i="5"/>
  <c r="E11" i="5"/>
  <c r="E10" i="5"/>
  <c r="D10" i="5"/>
  <c r="H589" i="6"/>
  <c r="H588" i="6" s="1"/>
  <c r="H519" i="6"/>
  <c r="H518" i="6"/>
  <c r="H517" i="6"/>
  <c r="H516" i="6" l="1"/>
  <c r="H43" i="6"/>
  <c r="H42" i="6"/>
  <c r="F20" i="6"/>
  <c r="H20" i="6" s="1"/>
  <c r="H18" i="6" s="1"/>
  <c r="G28" i="5"/>
  <c r="H50" i="6"/>
  <c r="G187" i="5"/>
  <c r="J187" i="5" s="1"/>
  <c r="H19" i="6" l="1"/>
  <c r="G143" i="5"/>
  <c r="J143" i="5" s="1"/>
  <c r="E50" i="8" l="1"/>
  <c r="H395" i="6"/>
  <c r="H394" i="6" s="1"/>
  <c r="H71" i="7"/>
  <c r="H70" i="7"/>
  <c r="H69" i="7"/>
  <c r="H66" i="7"/>
  <c r="H73" i="7" l="1"/>
  <c r="G142" i="5"/>
  <c r="J142" i="5" s="1"/>
  <c r="H345" i="6"/>
  <c r="H343" i="6"/>
  <c r="H342" i="6" s="1"/>
  <c r="H341" i="6"/>
  <c r="H335" i="6"/>
  <c r="H333" i="6"/>
  <c r="H332" i="6" s="1"/>
  <c r="H331" i="6"/>
  <c r="H330" i="6" s="1"/>
  <c r="G107" i="5" s="1"/>
  <c r="H329" i="6"/>
  <c r="H328" i="6" s="1"/>
  <c r="H327" i="6"/>
  <c r="H326" i="6" s="1"/>
  <c r="G105" i="5" s="1"/>
  <c r="H325" i="6"/>
  <c r="H324" i="6" s="1"/>
  <c r="H323" i="6"/>
  <c r="H322" i="6" s="1"/>
  <c r="H60" i="7"/>
  <c r="H59" i="7"/>
  <c r="H58" i="7"/>
  <c r="H57" i="7"/>
  <c r="H56" i="7"/>
  <c r="D55" i="7"/>
  <c r="H49" i="7"/>
  <c r="H48" i="7"/>
  <c r="H41" i="7"/>
  <c r="H38" i="7"/>
  <c r="H37" i="7"/>
  <c r="H36" i="7"/>
  <c r="H29" i="7"/>
  <c r="H28" i="7"/>
  <c r="H27" i="7"/>
  <c r="H20" i="7"/>
  <c r="H19" i="7"/>
  <c r="H12" i="7"/>
  <c r="E36" i="8"/>
  <c r="F21" i="7" s="1"/>
  <c r="F22" i="7" s="1"/>
  <c r="F13" i="7"/>
  <c r="F14" i="7" s="1"/>
  <c r="H596" i="6"/>
  <c r="H595" i="6" s="1"/>
  <c r="H593" i="6"/>
  <c r="H591" i="6" s="1"/>
  <c r="G213" i="5"/>
  <c r="H585" i="6"/>
  <c r="H584" i="6" s="1"/>
  <c r="H542" i="6"/>
  <c r="G198" i="5" s="1"/>
  <c r="J198" i="5" s="1"/>
  <c r="H538" i="6"/>
  <c r="H537" i="6"/>
  <c r="H536" i="6"/>
  <c r="H533" i="6"/>
  <c r="H532" i="6"/>
  <c r="H531" i="6"/>
  <c r="H527" i="6"/>
  <c r="H525" i="6"/>
  <c r="H523" i="6"/>
  <c r="H522" i="6"/>
  <c r="H521" i="6"/>
  <c r="H466" i="6"/>
  <c r="H465" i="6" s="1"/>
  <c r="H464" i="6"/>
  <c r="H463" i="6"/>
  <c r="H454" i="6"/>
  <c r="H452" i="6"/>
  <c r="H425" i="6"/>
  <c r="H424" i="6"/>
  <c r="H423" i="6"/>
  <c r="H393" i="6"/>
  <c r="H392" i="6" s="1"/>
  <c r="H391" i="6"/>
  <c r="H390" i="6" s="1"/>
  <c r="H389" i="6"/>
  <c r="H388" i="6" s="1"/>
  <c r="H386" i="6"/>
  <c r="H385" i="6" s="1"/>
  <c r="H384" i="6"/>
  <c r="H382" i="6"/>
  <c r="H381" i="6" s="1"/>
  <c r="H380" i="6"/>
  <c r="H379" i="6" s="1"/>
  <c r="H375" i="6"/>
  <c r="H373" i="6"/>
  <c r="H372" i="6"/>
  <c r="H370" i="6"/>
  <c r="H369" i="6" s="1"/>
  <c r="H368" i="6"/>
  <c r="H367" i="6" s="1"/>
  <c r="G133" i="5" s="1"/>
  <c r="H366" i="6"/>
  <c r="H365" i="6" s="1"/>
  <c r="H361" i="6"/>
  <c r="H360" i="6"/>
  <c r="H359" i="6" s="1"/>
  <c r="H358" i="6"/>
  <c r="H357" i="6" s="1"/>
  <c r="H355" i="6"/>
  <c r="H321" i="6"/>
  <c r="H319" i="6"/>
  <c r="H317" i="6"/>
  <c r="H316" i="6" s="1"/>
  <c r="G113" i="5" s="1"/>
  <c r="H315" i="6"/>
  <c r="G108" i="5"/>
  <c r="H313" i="6"/>
  <c r="H311" i="6"/>
  <c r="H309" i="6"/>
  <c r="H305" i="6"/>
  <c r="H303" i="6"/>
  <c r="H301" i="6"/>
  <c r="H294" i="6"/>
  <c r="H293" i="6" s="1"/>
  <c r="G86" i="5" s="1"/>
  <c r="H292" i="6"/>
  <c r="H291" i="6" s="1"/>
  <c r="H290" i="6"/>
  <c r="H289" i="6" s="1"/>
  <c r="H288" i="6"/>
  <c r="H287" i="6" s="1"/>
  <c r="H286" i="6"/>
  <c r="H285" i="6" s="1"/>
  <c r="H284" i="6"/>
  <c r="H283" i="6" s="1"/>
  <c r="G87" i="5"/>
  <c r="H280" i="6"/>
  <c r="H279" i="6" s="1"/>
  <c r="H278" i="6"/>
  <c r="H277" i="6" s="1"/>
  <c r="H276" i="6"/>
  <c r="H275" i="6" s="1"/>
  <c r="H274" i="6"/>
  <c r="H273" i="6" s="1"/>
  <c r="G76" i="5" s="1"/>
  <c r="H272" i="6"/>
  <c r="H271" i="6" s="1"/>
  <c r="H270" i="6"/>
  <c r="H269" i="6" s="1"/>
  <c r="G80" i="5" s="1"/>
  <c r="H268" i="6"/>
  <c r="H267" i="6" s="1"/>
  <c r="G73" i="5" s="1"/>
  <c r="H266" i="6"/>
  <c r="H265" i="6" s="1"/>
  <c r="H264" i="6"/>
  <c r="H263" i="6" s="1"/>
  <c r="H262" i="6"/>
  <c r="H261" i="6" s="1"/>
  <c r="H260" i="6"/>
  <c r="H259" i="6" s="1"/>
  <c r="G69" i="5" s="1"/>
  <c r="H258" i="6"/>
  <c r="H257" i="6" s="1"/>
  <c r="H256" i="6"/>
  <c r="H255" i="6" s="1"/>
  <c r="H254" i="6"/>
  <c r="H252" i="6"/>
  <c r="H244" i="6"/>
  <c r="H243" i="6" s="1"/>
  <c r="H242" i="6"/>
  <c r="H241" i="6" s="1"/>
  <c r="H240" i="6"/>
  <c r="H238" i="6"/>
  <c r="H237" i="6" s="1"/>
  <c r="H236" i="6"/>
  <c r="H232" i="6"/>
  <c r="H230" i="6"/>
  <c r="H228" i="6"/>
  <c r="H226" i="6"/>
  <c r="H225" i="6" s="1"/>
  <c r="H196" i="6"/>
  <c r="H195" i="6" s="1"/>
  <c r="F108" i="6"/>
  <c r="H100" i="6"/>
  <c r="H99" i="6" s="1"/>
  <c r="H95" i="6"/>
  <c r="H94" i="6" s="1"/>
  <c r="H57" i="6"/>
  <c r="H55" i="6" s="1"/>
  <c r="G32" i="5" s="1"/>
  <c r="J32" i="5" s="1"/>
  <c r="G27" i="5"/>
  <c r="G25" i="5"/>
  <c r="G21" i="5"/>
  <c r="G84" i="5" l="1"/>
  <c r="H462" i="6"/>
  <c r="H530" i="6"/>
  <c r="H30" i="7"/>
  <c r="H524" i="6"/>
  <c r="G189" i="5" s="1"/>
  <c r="J189" i="5" s="1"/>
  <c r="G71" i="5"/>
  <c r="H535" i="6"/>
  <c r="G70" i="5"/>
  <c r="J70" i="5" s="1"/>
  <c r="H520" i="6"/>
  <c r="G130" i="5"/>
  <c r="J130" i="5" s="1"/>
  <c r="G39" i="5"/>
  <c r="G41" i="5"/>
  <c r="H422" i="6"/>
  <c r="H417" i="6" s="1"/>
  <c r="G72" i="5"/>
  <c r="J72" i="5" s="1"/>
  <c r="G124" i="5"/>
  <c r="J124" i="5" s="1"/>
  <c r="G126" i="5"/>
  <c r="J126" i="5" s="1"/>
  <c r="G67" i="5"/>
  <c r="J67" i="5" s="1"/>
  <c r="G188" i="5"/>
  <c r="J188" i="5" s="1"/>
  <c r="G106" i="5"/>
  <c r="J106" i="5" s="1"/>
  <c r="G128" i="5"/>
  <c r="J128" i="5" s="1"/>
  <c r="G136" i="5"/>
  <c r="J136" i="5" s="1"/>
  <c r="G134" i="5"/>
  <c r="J134" i="5" s="1"/>
  <c r="G45" i="5"/>
  <c r="J45" i="5" s="1"/>
  <c r="H50" i="7"/>
  <c r="H55" i="7"/>
  <c r="H61" i="7" s="1"/>
  <c r="F61" i="7"/>
  <c r="G61" i="7"/>
  <c r="H42" i="7"/>
  <c r="G74" i="5"/>
  <c r="J74" i="5" s="1"/>
  <c r="G77" i="5"/>
  <c r="J77" i="5" s="1"/>
  <c r="G78" i="5"/>
  <c r="J78" i="5" s="1"/>
  <c r="G79" i="5"/>
  <c r="J79" i="5" s="1"/>
  <c r="G132" i="5"/>
  <c r="J132" i="5" s="1"/>
  <c r="G60" i="5"/>
  <c r="J60" i="5" s="1"/>
  <c r="H235" i="6"/>
  <c r="G123" i="5"/>
  <c r="J123" i="5" s="1"/>
  <c r="G81" i="5"/>
  <c r="J81" i="5" s="1"/>
  <c r="G82" i="5"/>
  <c r="J82" i="5" s="1"/>
  <c r="G83" i="5"/>
  <c r="J83" i="5" s="1"/>
  <c r="G85" i="5"/>
  <c r="J85" i="5" s="1"/>
  <c r="H253" i="6"/>
  <c r="G68" i="5" s="1"/>
  <c r="J68" i="5" s="1"/>
  <c r="H251" i="6"/>
  <c r="G61" i="5"/>
  <c r="J61" i="5" s="1"/>
  <c r="H334" i="6"/>
  <c r="G109" i="5" s="1"/>
  <c r="J109" i="5" s="1"/>
  <c r="H340" i="6"/>
  <c r="G112" i="5" s="1"/>
  <c r="J112" i="5" s="1"/>
  <c r="G205" i="5"/>
  <c r="G147" i="5"/>
  <c r="J147" i="5" s="1"/>
  <c r="G175" i="5"/>
  <c r="J175" i="5" s="1"/>
  <c r="G182" i="5"/>
  <c r="G11" i="5"/>
  <c r="J11" i="5" s="1"/>
  <c r="H302" i="6"/>
  <c r="G93" i="5" s="1"/>
  <c r="H306" i="6"/>
  <c r="J158" i="5"/>
  <c r="H308" i="6"/>
  <c r="G96" i="5" s="1"/>
  <c r="G181" i="5"/>
  <c r="G183" i="5"/>
  <c r="G140" i="5"/>
  <c r="J140" i="5" s="1"/>
  <c r="G139" i="5"/>
  <c r="G141" i="5"/>
  <c r="J141" i="5" s="1"/>
  <c r="G52" i="5"/>
  <c r="J52" i="5" s="1"/>
  <c r="G215" i="5"/>
  <c r="J215" i="5" s="1"/>
  <c r="G10" i="5"/>
  <c r="J10" i="5" s="1"/>
  <c r="H451" i="6"/>
  <c r="G163" i="5" s="1"/>
  <c r="J163" i="5" s="1"/>
  <c r="H453" i="6"/>
  <c r="G164" i="5" s="1"/>
  <c r="G193" i="5"/>
  <c r="G194" i="5"/>
  <c r="H300" i="6"/>
  <c r="G206" i="5"/>
  <c r="J206" i="5" s="1"/>
  <c r="G12" i="5"/>
  <c r="H586" i="6"/>
  <c r="G214" i="5" s="1"/>
  <c r="G16" i="5"/>
  <c r="H320" i="6"/>
  <c r="H383" i="6"/>
  <c r="G135" i="5" s="1"/>
  <c r="J135" i="5" s="1"/>
  <c r="H304" i="6"/>
  <c r="H310" i="6"/>
  <c r="H312" i="6"/>
  <c r="G104" i="5"/>
  <c r="G110" i="5"/>
  <c r="H314" i="6"/>
  <c r="G111" i="5" s="1"/>
  <c r="H318" i="6"/>
  <c r="G115" i="5" s="1"/>
  <c r="G200" i="5"/>
  <c r="J200" i="5" s="1"/>
  <c r="H46" i="6"/>
  <c r="H45" i="6"/>
  <c r="G29" i="5" s="1"/>
  <c r="H53" i="6"/>
  <c r="G31" i="5"/>
  <c r="H59" i="6"/>
  <c r="H25" i="6"/>
  <c r="G20" i="5"/>
  <c r="J21" i="5"/>
  <c r="J30" i="5"/>
  <c r="J69" i="5"/>
  <c r="J71" i="5"/>
  <c r="J73" i="5"/>
  <c r="J75" i="5"/>
  <c r="J76" i="5"/>
  <c r="J80" i="5"/>
  <c r="J84" i="5"/>
  <c r="J86" i="5"/>
  <c r="J87" i="5"/>
  <c r="J105" i="5"/>
  <c r="J107" i="5"/>
  <c r="J108" i="5"/>
  <c r="J113" i="5"/>
  <c r="J199" i="5"/>
  <c r="J213" i="5"/>
  <c r="H344" i="6"/>
  <c r="G114" i="5" s="1"/>
  <c r="H371" i="6"/>
  <c r="G131" i="5" s="1"/>
  <c r="J131" i="5" s="1"/>
  <c r="H239" i="6"/>
  <c r="G62" i="5" s="1"/>
  <c r="G26" i="5"/>
  <c r="J26" i="5" s="1"/>
  <c r="G56" i="5"/>
  <c r="H227" i="6"/>
  <c r="H229" i="6"/>
  <c r="J133" i="5"/>
  <c r="H351" i="6"/>
  <c r="G117" i="5" s="1"/>
  <c r="J117" i="5" s="1"/>
  <c r="H21" i="7"/>
  <c r="H22" i="7" s="1"/>
  <c r="H13" i="7"/>
  <c r="H14" i="7" s="1"/>
  <c r="H231" i="6"/>
  <c r="H108" i="6"/>
  <c r="H107" i="6" s="1"/>
  <c r="H37" i="6"/>
  <c r="J118" i="5"/>
  <c r="H28" i="6"/>
  <c r="H34" i="6"/>
  <c r="H40" i="6"/>
  <c r="H56" i="6"/>
  <c r="J185" i="5" l="1"/>
  <c r="J196" i="5"/>
  <c r="G44" i="5"/>
  <c r="J44" i="5" s="1"/>
  <c r="G46" i="5"/>
  <c r="J46" i="5" s="1"/>
  <c r="G159" i="5"/>
  <c r="J159" i="5" s="1"/>
  <c r="J156" i="5" s="1"/>
  <c r="G94" i="5"/>
  <c r="J94" i="5" s="1"/>
  <c r="G65" i="5"/>
  <c r="J65" i="5" s="1"/>
  <c r="G212" i="5"/>
  <c r="J212" i="5" s="1"/>
  <c r="G92" i="5"/>
  <c r="J92" i="5" s="1"/>
  <c r="G95" i="5"/>
  <c r="J95" i="5" s="1"/>
  <c r="G102" i="5"/>
  <c r="J102" i="5" s="1"/>
  <c r="G116" i="5"/>
  <c r="J116" i="5" s="1"/>
  <c r="G66" i="5"/>
  <c r="J66" i="5" s="1"/>
  <c r="G33" i="5"/>
  <c r="J33" i="5" s="1"/>
  <c r="G98" i="5"/>
  <c r="J98" i="5" s="1"/>
  <c r="G59" i="5"/>
  <c r="J59" i="5" s="1"/>
  <c r="G55" i="5"/>
  <c r="J55" i="5" s="1"/>
  <c r="G170" i="5"/>
  <c r="J170" i="5" s="1"/>
  <c r="G169" i="5"/>
  <c r="J169" i="5" s="1"/>
  <c r="G58" i="5"/>
  <c r="J58" i="5" s="1"/>
  <c r="G54" i="5"/>
  <c r="J54" i="5" s="1"/>
  <c r="G103" i="5"/>
  <c r="J103" i="5" s="1"/>
  <c r="G211" i="5"/>
  <c r="J211" i="5" s="1"/>
  <c r="G122" i="5"/>
  <c r="J122" i="5" s="1"/>
  <c r="G121" i="5"/>
  <c r="J121" i="5" s="1"/>
  <c r="G101" i="5"/>
  <c r="J101" i="5" s="1"/>
  <c r="G57" i="5"/>
  <c r="J57" i="5" s="1"/>
  <c r="G53" i="5"/>
  <c r="J53" i="5" s="1"/>
  <c r="G99" i="5"/>
  <c r="J99" i="5" s="1"/>
  <c r="G97" i="5"/>
  <c r="J97" i="5" s="1"/>
  <c r="G63" i="5"/>
  <c r="J63" i="5" s="1"/>
  <c r="J37" i="5"/>
  <c r="G207" i="5"/>
  <c r="J207" i="5" s="1"/>
  <c r="G148" i="5"/>
  <c r="J148" i="5" s="1"/>
  <c r="J145" i="5" s="1"/>
  <c r="J38" i="5"/>
  <c r="J29" i="5"/>
  <c r="G153" i="5"/>
  <c r="G180" i="5"/>
  <c r="J180" i="5" s="1"/>
  <c r="G174" i="5"/>
  <c r="J154" i="5"/>
  <c r="J205" i="5"/>
  <c r="J28" i="5"/>
  <c r="J27" i="5"/>
  <c r="J25" i="5"/>
  <c r="J20" i="5"/>
  <c r="J18" i="5" s="1"/>
  <c r="J114" i="5"/>
  <c r="J139" i="5"/>
  <c r="J138" i="5" s="1"/>
  <c r="J31" i="5"/>
  <c r="J164" i="5"/>
  <c r="J161" i="5" s="1"/>
  <c r="J194" i="5"/>
  <c r="J93" i="5"/>
  <c r="J115" i="5"/>
  <c r="J111" i="5"/>
  <c r="J104" i="5"/>
  <c r="J56" i="5"/>
  <c r="J16" i="5"/>
  <c r="J14" i="5" s="1"/>
  <c r="J62" i="5"/>
  <c r="J12" i="5"/>
  <c r="J110" i="5"/>
  <c r="J96" i="5"/>
  <c r="J214" i="5"/>
  <c r="J183" i="5"/>
  <c r="J182" i="5"/>
  <c r="J181" i="5"/>
  <c r="J193" i="5"/>
  <c r="J191" i="5" l="1"/>
  <c r="J167" i="5"/>
  <c r="J8" i="5"/>
  <c r="J209" i="5"/>
  <c r="J178" i="5"/>
  <c r="J23" i="5"/>
  <c r="J203" i="5"/>
  <c r="J91" i="5"/>
  <c r="J153" i="5"/>
  <c r="J151" i="5" s="1"/>
  <c r="J174" i="5"/>
  <c r="J172" i="5" s="1"/>
  <c r="J43" i="5" l="1"/>
  <c r="J42" i="5"/>
  <c r="J41" i="5" l="1"/>
  <c r="J39" i="5"/>
  <c r="J40" i="5"/>
  <c r="J35" i="5" l="1"/>
  <c r="H363" i="6" l="1"/>
  <c r="G129" i="5"/>
  <c r="J129" i="5" s="1"/>
  <c r="G127" i="5" l="1"/>
  <c r="J127" i="5" s="1"/>
  <c r="G125" i="5"/>
  <c r="J125" i="5" s="1"/>
  <c r="J120" i="5" l="1"/>
  <c r="J89" i="5" s="1"/>
  <c r="G64" i="5"/>
  <c r="J64" i="5" s="1"/>
  <c r="J50" i="5" s="1"/>
  <c r="J218" i="5" l="1"/>
  <c r="K201" i="5" l="1"/>
  <c r="K149" i="5"/>
  <c r="K134" i="5"/>
  <c r="K136" i="5"/>
  <c r="K135" i="5"/>
  <c r="K8" i="5"/>
  <c r="K46" i="5"/>
  <c r="K47" i="5"/>
  <c r="K48" i="5"/>
  <c r="K35" i="5"/>
  <c r="K200" i="5"/>
  <c r="K151" i="5"/>
  <c r="K153" i="5"/>
  <c r="K178" i="5"/>
  <c r="K102" i="5"/>
  <c r="K51" i="5"/>
  <c r="K165" i="5"/>
  <c r="K55" i="5"/>
  <c r="K65" i="5"/>
  <c r="K100" i="5"/>
  <c r="K87" i="5"/>
  <c r="K93" i="5"/>
  <c r="K111" i="5"/>
  <c r="K196" i="5"/>
  <c r="K203" i="5"/>
  <c r="K138" i="5"/>
  <c r="K75" i="5"/>
  <c r="K198" i="5"/>
  <c r="K208" i="5"/>
  <c r="K122" i="5"/>
  <c r="K19" i="5"/>
  <c r="K150" i="5"/>
  <c r="K60" i="5"/>
  <c r="K61" i="5"/>
  <c r="K175" i="5"/>
  <c r="K83" i="5"/>
  <c r="K78" i="5"/>
  <c r="K16" i="5"/>
  <c r="K116" i="5"/>
  <c r="K31" i="5"/>
  <c r="K209" i="5"/>
  <c r="K161" i="5"/>
  <c r="K179" i="5"/>
  <c r="K66" i="5"/>
  <c r="K72" i="5"/>
  <c r="K180" i="5"/>
  <c r="K185" i="5"/>
  <c r="K59" i="5"/>
  <c r="K13" i="5"/>
  <c r="K181" i="5"/>
  <c r="K85" i="5"/>
  <c r="K44" i="5"/>
  <c r="K121" i="5"/>
  <c r="K63" i="5"/>
  <c r="K193" i="5"/>
  <c r="K120" i="5"/>
  <c r="K9" i="5"/>
  <c r="K34" i="5"/>
  <c r="K157" i="5"/>
  <c r="K117" i="5"/>
  <c r="K148" i="5"/>
  <c r="K10" i="5"/>
  <c r="K76" i="5"/>
  <c r="K106" i="5"/>
  <c r="K25" i="5"/>
  <c r="K38" i="5"/>
  <c r="K194" i="5"/>
  <c r="K41" i="5"/>
  <c r="J219" i="5"/>
  <c r="J220" i="5" s="1"/>
  <c r="K20" i="5"/>
  <c r="K42" i="5"/>
  <c r="K45" i="5"/>
  <c r="K128" i="5"/>
  <c r="K164" i="5"/>
  <c r="K183" i="5"/>
  <c r="K74" i="5"/>
  <c r="K52" i="5"/>
  <c r="K133" i="5"/>
  <c r="K28" i="5"/>
  <c r="K172" i="5"/>
  <c r="K22" i="5"/>
  <c r="K152" i="5"/>
  <c r="K176" i="5"/>
  <c r="K126" i="5"/>
  <c r="K119" i="5"/>
  <c r="K140" i="5"/>
  <c r="K84" i="5"/>
  <c r="K213" i="5"/>
  <c r="K27" i="5"/>
  <c r="K11" i="5"/>
  <c r="K89" i="5"/>
  <c r="K109" i="5"/>
  <c r="K207" i="5"/>
  <c r="K23" i="5"/>
  <c r="K67" i="5"/>
  <c r="K156" i="5"/>
  <c r="K43" i="5"/>
  <c r="K174" i="5"/>
  <c r="K110" i="5"/>
  <c r="K169" i="5"/>
  <c r="K108" i="5"/>
  <c r="K195" i="5"/>
  <c r="K214" i="5"/>
  <c r="K205" i="5"/>
  <c r="K97" i="5"/>
  <c r="K129" i="5"/>
  <c r="K21" i="5"/>
  <c r="K173" i="5"/>
  <c r="K186" i="5"/>
  <c r="K204" i="5"/>
  <c r="K158" i="5"/>
  <c r="K39" i="5"/>
  <c r="K77" i="5"/>
  <c r="K86" i="5"/>
  <c r="K30" i="5"/>
  <c r="K101" i="5"/>
  <c r="K99" i="5"/>
  <c r="K12" i="5"/>
  <c r="K139" i="5"/>
  <c r="K125" i="5"/>
  <c r="K188" i="5"/>
  <c r="K94" i="5"/>
  <c r="K192" i="5"/>
  <c r="K91" i="5"/>
  <c r="K79" i="5"/>
  <c r="K155" i="5"/>
  <c r="K190" i="5"/>
  <c r="K33" i="5"/>
  <c r="K37" i="5"/>
  <c r="K73" i="5"/>
  <c r="K137" i="5"/>
  <c r="K54" i="5"/>
  <c r="K81" i="5"/>
  <c r="K56" i="5"/>
  <c r="K104" i="5"/>
  <c r="K95" i="5"/>
  <c r="K18" i="5"/>
  <c r="K107" i="5"/>
  <c r="K70" i="5"/>
  <c r="K53" i="5"/>
  <c r="K159" i="5"/>
  <c r="K90" i="5"/>
  <c r="K115" i="5"/>
  <c r="K82" i="5"/>
  <c r="K147" i="5"/>
  <c r="K132" i="5"/>
  <c r="K71" i="5"/>
  <c r="K14" i="5"/>
  <c r="K168" i="5"/>
  <c r="K197" i="5"/>
  <c r="K189" i="5"/>
  <c r="K118" i="5"/>
  <c r="K113" i="5"/>
  <c r="K212" i="5"/>
  <c r="K191" i="5"/>
  <c r="K163" i="5"/>
  <c r="K36" i="5"/>
  <c r="K96" i="5"/>
  <c r="K15" i="5"/>
  <c r="K210" i="5"/>
  <c r="K144" i="5"/>
  <c r="K68" i="5"/>
  <c r="K167" i="5"/>
  <c r="K127" i="5"/>
  <c r="K170" i="5"/>
  <c r="K146" i="5"/>
  <c r="K162" i="5"/>
  <c r="K88" i="5"/>
  <c r="K187" i="5"/>
  <c r="K141" i="5"/>
  <c r="K130" i="5"/>
  <c r="K123" i="5"/>
  <c r="K112" i="5"/>
  <c r="K62" i="5"/>
  <c r="K182" i="5"/>
  <c r="K154" i="5"/>
  <c r="K58" i="5"/>
  <c r="K17" i="5"/>
  <c r="K32" i="5"/>
  <c r="K29" i="5"/>
  <c r="K69" i="5"/>
  <c r="K202" i="5"/>
  <c r="K160" i="5"/>
  <c r="K143" i="5"/>
  <c r="K103" i="5"/>
  <c r="K215" i="5"/>
  <c r="K80" i="5"/>
  <c r="K199" i="5"/>
  <c r="K26" i="5"/>
  <c r="K40" i="5"/>
  <c r="K184" i="5"/>
  <c r="K171" i="5"/>
  <c r="K142" i="5"/>
  <c r="K206" i="5"/>
  <c r="K131" i="5"/>
  <c r="K105" i="5"/>
  <c r="K57" i="5"/>
  <c r="K98" i="5"/>
  <c r="K211" i="5"/>
  <c r="K114" i="5"/>
  <c r="K145" i="5"/>
  <c r="K124" i="5"/>
  <c r="K24" i="5"/>
  <c r="K92" i="5"/>
  <c r="K64" i="5"/>
  <c r="K5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9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Add vigas e pilares do corredor, além de estacas e blocos</t>
        </r>
      </text>
    </comment>
  </commentList>
</comments>
</file>

<file path=xl/sharedStrings.xml><?xml version="1.0" encoding="utf-8"?>
<sst xmlns="http://schemas.openxmlformats.org/spreadsheetml/2006/main" count="2439" uniqueCount="675">
  <si>
    <t>SECRETARIA MUNICIPAL DE EDUCAÇÃO</t>
  </si>
  <si>
    <t xml:space="preserve"> AMPLIAÇÃO 2 SALAS E BANHEIROS PADRÃO FNDE (CRECHE TIPO I) </t>
  </si>
  <si>
    <t>RUA FERNANDES FILHO - PIRES BELO-GO</t>
  </si>
  <si>
    <t>TABELA 212 GOINFRA -  (AGOSTO/ 2023) CUSTOS DE OBRAS CIVIS - DESONERADA</t>
  </si>
  <si>
    <t xml:space="preserve">  </t>
  </si>
  <si>
    <t>TABELA SINAPI -  (SETEMBRO / 2023) - DESONERADA</t>
  </si>
  <si>
    <t>MEMÓRIA DE CÁLCULO</t>
  </si>
  <si>
    <t>ITEM</t>
  </si>
  <si>
    <t xml:space="preserve">CÓDIGO </t>
  </si>
  <si>
    <t>UNID.</t>
  </si>
  <si>
    <t>GRUPO DE SERVIÇO 164: SERVIÇOS PRELIMINARES</t>
  </si>
  <si>
    <t>020000</t>
  </si>
  <si>
    <t>SERVIÇOS PRELIMINARES</t>
  </si>
  <si>
    <t>TOTAL</t>
  </si>
  <si>
    <t>1.1</t>
  </si>
  <si>
    <t xml:space="preserve"> 98524</t>
  </si>
  <si>
    <t>LIMPEZA MANUAL DE VEGETAÇÃO EM TERRENO COM ENXADA.</t>
  </si>
  <si>
    <t>m²</t>
  </si>
  <si>
    <t>COMPRIMENTO (M)</t>
  </si>
  <si>
    <t>LARGURA (M)</t>
  </si>
  <si>
    <t>Limpeza e preparação do terreno para construção</t>
  </si>
  <si>
    <t>1.2</t>
  </si>
  <si>
    <t>DEMOLIÇÃO MANUAL EM CONCRETO SIMPLES C/TR.ATÉ CB.E CARGA (O.C)</t>
  </si>
  <si>
    <t>Demolição de calçadas antigas</t>
  </si>
  <si>
    <t>1.3</t>
  </si>
  <si>
    <t>PLACA DE OBRA PLOTADA EM CHAPA METÁLICA 26 , AFIXADA EM CAVALETES DE MADEIRA DE LEI (VIGOTAS 6X12CM) - PADRÃO GOINFRA</t>
  </si>
  <si>
    <t>Placa de obra</t>
  </si>
  <si>
    <t>GRUPO DE SERVIÇO: 165 - TRANSPORTES</t>
  </si>
  <si>
    <t>030000</t>
  </si>
  <si>
    <t>TRANSPORTES</t>
  </si>
  <si>
    <t>2.1</t>
  </si>
  <si>
    <t>TRANSPORTE DE ENTULHO CAÇAMBA ESTACIONÁRIA SEM CARGA (EMPOLAMENTO 30%)</t>
  </si>
  <si>
    <t>m³</t>
  </si>
  <si>
    <t>DIMENSÕES</t>
  </si>
  <si>
    <t>ÁREA (M²)</t>
  </si>
  <si>
    <t>ESPESSURA (M)</t>
  </si>
  <si>
    <t>GRUPO DE SERVIÇO: 166 - SERVIÇOS EM TERRA</t>
  </si>
  <si>
    <t>040000</t>
  </si>
  <si>
    <t>SERVIÇOS EM TERRA</t>
  </si>
  <si>
    <t>3.1</t>
  </si>
  <si>
    <t>ESCAVAÇÃO MANUAL DE VALAS PROF.1 A 2 M</t>
  </si>
  <si>
    <t>ALTURA (M)</t>
  </si>
  <si>
    <t>Sala 1, 2 e WC infantil</t>
  </si>
  <si>
    <r>
      <t xml:space="preserve">  </t>
    </r>
    <r>
      <rPr>
        <sz val="12"/>
        <color theme="1"/>
        <rFont val="Arial"/>
        <family val="2"/>
      </rPr>
      <t xml:space="preserve"> E1=E2=E3=E4=E5=E6=E7=E8</t>
    </r>
    <r>
      <rPr>
        <b/>
        <sz val="12"/>
        <color theme="1"/>
        <rFont val="Arial"/>
        <family val="2"/>
      </rPr>
      <t>=</t>
    </r>
    <r>
      <rPr>
        <sz val="12"/>
        <color theme="1"/>
        <rFont val="Arial"/>
        <family val="2"/>
      </rPr>
      <t>E9</t>
    </r>
    <r>
      <rPr>
        <b/>
        <sz val="12"/>
        <color theme="1"/>
        <rFont val="Arial"/>
        <family val="2"/>
      </rPr>
      <t>=</t>
    </r>
    <r>
      <rPr>
        <sz val="12"/>
        <color theme="1"/>
        <rFont val="Arial"/>
        <family val="2"/>
      </rPr>
      <t>E10=E11-E12</t>
    </r>
  </si>
  <si>
    <t>3.2</t>
  </si>
  <si>
    <t xml:space="preserve">APILOAMENTO </t>
  </si>
  <si>
    <t>GRUPO DE SERVIÇO: 167 - FUNDAÇÕES E SONDAGENS</t>
  </si>
  <si>
    <t>050000</t>
  </si>
  <si>
    <t>FUNDAÇÕES E SONDAGENS</t>
  </si>
  <si>
    <t>ESTACAS</t>
  </si>
  <si>
    <t xml:space="preserve"> TOTAL</t>
  </si>
  <si>
    <t>4.1</t>
  </si>
  <si>
    <t xml:space="preserve">ESTACA A TRADO DIAM.30 CM SEM FERRO  </t>
  </si>
  <si>
    <t>4.2</t>
  </si>
  <si>
    <t xml:space="preserve">PREPARO COM BETONEIRA E TRANSPORTE MANUAL DE CONCRETO PARA LASTRO - (O.C.)  </t>
  </si>
  <si>
    <t>ÁREA(M²)</t>
  </si>
  <si>
    <t>4.3</t>
  </si>
  <si>
    <t>AÇO CA - 50A - 10,0 MM (3/8") - (OBRAS CIVIS)</t>
  </si>
  <si>
    <t>KG</t>
  </si>
  <si>
    <t>DENSIDADE</t>
  </si>
  <si>
    <t>4.4</t>
  </si>
  <si>
    <t>AÇO CA - 50A - 6,3 MM  (1/4")- (OBRAS CIVIS)</t>
  </si>
  <si>
    <t>4.5</t>
  </si>
  <si>
    <t xml:space="preserve">CONCRETO USINADO CONVENCIONAL FCK=25 MPA COM TRANSPORTE MANUAL (O.C.) (ESTACAS)  </t>
  </si>
  <si>
    <t xml:space="preserve">BLOCOS </t>
  </si>
  <si>
    <t>4.6</t>
  </si>
  <si>
    <t xml:space="preserve">ESCAVAÇÃO MANUAL DE VALAS (SAPATAS/BLOCOS)  </t>
  </si>
  <si>
    <t xml:space="preserve">   BL1=BL2=BL3=BL4=BL5=BL6=BL7=BL8=BL9=BL10=BL11</t>
  </si>
  <si>
    <t>4.7</t>
  </si>
  <si>
    <t xml:space="preserve">FORMA TÁBUA PINHO P/FUNDAÇÕES U=3V - (OBRAS CIVIS)  </t>
  </si>
  <si>
    <t>4.8</t>
  </si>
  <si>
    <t>AÇO CA 60 - 5,0 MM  (OBRAS CIVIS)</t>
  </si>
  <si>
    <t>4.9</t>
  </si>
  <si>
    <t>CONCRETO USINADO CONVENCIONAL FCK=25 MPA COM TRANSPORTE MANUAL (O.C.) (BLOCOS)</t>
  </si>
  <si>
    <t>GRUPO DE SERVIÇO: 168 - ESTRUTURA</t>
  </si>
  <si>
    <t>060000</t>
  </si>
  <si>
    <t>ESTRUTURA</t>
  </si>
  <si>
    <t>5.1</t>
  </si>
  <si>
    <t>FORMA DE TÁBUA CINTA BALDRAME U=8 VEZES</t>
  </si>
  <si>
    <t>Baldrame da Sala 1</t>
  </si>
  <si>
    <t>Viga de cobertura da Sala 1</t>
  </si>
  <si>
    <t>V1</t>
  </si>
  <si>
    <t>V8</t>
  </si>
  <si>
    <t>V9</t>
  </si>
  <si>
    <t>V10</t>
  </si>
  <si>
    <t>V2</t>
  </si>
  <si>
    <t>Baldrame WC infaltil</t>
  </si>
  <si>
    <t>Viga de cobertura WC infaltil</t>
  </si>
  <si>
    <t>V7</t>
  </si>
  <si>
    <t>V3</t>
  </si>
  <si>
    <t>Baldrame da Sala 3</t>
  </si>
  <si>
    <t>Viga de cobertura da Sala 3</t>
  </si>
  <si>
    <t>V11</t>
  </si>
  <si>
    <t>V6</t>
  </si>
  <si>
    <t>V4</t>
  </si>
  <si>
    <t>V5</t>
  </si>
  <si>
    <t>Baldrame Corredor</t>
  </si>
  <si>
    <t>V12</t>
  </si>
  <si>
    <t>V13</t>
  </si>
  <si>
    <t>V14</t>
  </si>
  <si>
    <t>Viga de cobertura corredor</t>
  </si>
  <si>
    <t>5.2</t>
  </si>
  <si>
    <t>AÇO CA - 50A - 8,0 MM (5/16") - (OBRAS CIVIS)</t>
  </si>
  <si>
    <t>kg</t>
  </si>
  <si>
    <t>Pilares Sala 1, 2 e WC infantil</t>
  </si>
  <si>
    <t>Vigas Sala 1, 2 , WC infantil e Corredor</t>
  </si>
  <si>
    <t>5.3</t>
  </si>
  <si>
    <t>AÇO CA - 60 - 5,0 MM - (OBRAS CIVIS)</t>
  </si>
  <si>
    <t>Pilares Sala 1, 2, WC infantil e Corredor</t>
  </si>
  <si>
    <t>5.4</t>
  </si>
  <si>
    <t>60303</t>
  </si>
  <si>
    <t>Vigas Sala 1, 2 e WC infantil</t>
  </si>
  <si>
    <t>5.5</t>
  </si>
  <si>
    <t>5.6</t>
  </si>
  <si>
    <t>60306</t>
  </si>
  <si>
    <t>AÇO CA-50A - 12,5 MM (1/2") - (OBRAS CIVIS)</t>
  </si>
  <si>
    <t>5.7</t>
  </si>
  <si>
    <t>60307</t>
  </si>
  <si>
    <t>AÇO CA-50A - 16 MM (5/8") - (OBRAS CIVIS)</t>
  </si>
  <si>
    <t>5.8</t>
  </si>
  <si>
    <t>PREPARO COM BETONEIRA E TRANSPORTE MANUAL DE CONCRETO FCK=25 MPA</t>
  </si>
  <si>
    <t>ÁREA SEÇÃO (M²)</t>
  </si>
  <si>
    <t>Vigas Baldrame  Sala 1, 2 e WC Infantil</t>
  </si>
  <si>
    <t xml:space="preserve"> Vigas da Cobertura Sala 1, 2 e WC Infantil</t>
  </si>
  <si>
    <t>Pilares Sala 1, 2 , WC infantil e Corredor</t>
  </si>
  <si>
    <t>P1 até P9 ARRANQUES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</si>
  <si>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</si>
  <si>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</si>
  <si>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</si>
  <si>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</si>
  <si>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</si>
  <si>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</si>
  <si>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</si>
  <si>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</si>
  <si>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</si>
  <si>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</si>
  <si>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</si>
  <si>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 até P9 COBERTURA</t>
  </si>
  <si>
    <t>Pilares da Platibanda</t>
  </si>
  <si>
    <t>Pilaretes platibanda</t>
  </si>
  <si>
    <t>5.9</t>
  </si>
  <si>
    <t>LANÇAMENTO/APLICAÇÃO/ADENSAMENTO MANUAL DE CONCRETO - (OBRAS CIVIS)</t>
  </si>
  <si>
    <t>P1 até P11 ARRANQUES</t>
  </si>
  <si>
    <t>P1 até P1 COBERTURA</t>
  </si>
  <si>
    <t>5.10</t>
  </si>
  <si>
    <t>FORMA CH.COMPENSADA 12MM-VIGA/PILAR U=4V - (OBRAS CIVIS)</t>
  </si>
  <si>
    <t xml:space="preserve">Vigas Baldrame Sala 1 </t>
  </si>
  <si>
    <t>Viga Baldrame WC Infantil</t>
  </si>
  <si>
    <t>Vigas Baldrame Sala 2</t>
  </si>
  <si>
    <t>Vigas Baldrame Corredores</t>
  </si>
  <si>
    <t xml:space="preserve">Vigas Cobertura Sala 1 </t>
  </si>
  <si>
    <t>Viga Cobertura WC Infantil</t>
  </si>
  <si>
    <t>Vigas Cobertura Sala 2</t>
  </si>
  <si>
    <t>Vigas Cobertura Corredores</t>
  </si>
  <si>
    <t>5.11</t>
  </si>
  <si>
    <t xml:space="preserve"> 101964</t>
  </si>
  <si>
    <t>LAJE PRÉ-MOLDADA UNIDIRECIONAL, BIAPOIADA, PARA FORRO, ENCHIMENTO EM CERÂM M2 OU EPS</t>
  </si>
  <si>
    <t>Sala 1</t>
  </si>
  <si>
    <t>Sala 2</t>
  </si>
  <si>
    <t>WC Infantil</t>
  </si>
  <si>
    <t>Corredor</t>
  </si>
  <si>
    <t>5.12</t>
  </si>
  <si>
    <t>60010</t>
  </si>
  <si>
    <t>VERGA/CONTRAVERGA EM CONCRETO ARMADO FCK = 20 MPA</t>
  </si>
  <si>
    <t>Janelas Sala 1, 2 e Wc Infantil</t>
  </si>
  <si>
    <t xml:space="preserve">GRUPO DE SERVIÇO: 169 - INST.ELÉT./TELEFÔNICA/ACABAMENTO ESTRUTURADO  depois com o eletrico </t>
  </si>
  <si>
    <t>070000</t>
  </si>
  <si>
    <t>INST. ELÉT./TELEFÔNICA/ACABEAMENTO ESTRUTURADO</t>
  </si>
  <si>
    <t>6.1</t>
  </si>
  <si>
    <t>SINAPI 97586</t>
  </si>
  <si>
    <t xml:space="preserve">LUMINÁRIA TIPO PAFLON, DE SOBREPOR, COM 1 LÂMPADAS  FLUORESCENTE </t>
  </si>
  <si>
    <t>und</t>
  </si>
  <si>
    <t xml:space="preserve">UNIDADE </t>
  </si>
  <si>
    <t>Vide projeto elétrico</t>
  </si>
  <si>
    <t>6.2</t>
  </si>
  <si>
    <t>70565</t>
  </si>
  <si>
    <t>CABO FLEXÍVEL, PVC (70° C), 450/750 V, 6 MM2(BRANCO)</t>
  </si>
  <si>
    <t>m</t>
  </si>
  <si>
    <t>6.3</t>
  </si>
  <si>
    <t>CABO FLEXÍVEL, PVC (70° C), 450/750 V, 6 MM2 (PRETO)</t>
  </si>
  <si>
    <t>6.4</t>
  </si>
  <si>
    <t>CABO FLEXÍVEL, PVC (70° C), 450/750 V, 6 MM2 (VERDE)</t>
  </si>
  <si>
    <t>6.5</t>
  </si>
  <si>
    <t>70563</t>
  </si>
  <si>
    <t>CABO FLEXÍVEL, PVC (70° C), 450/750 V, 2,5 MM2  (AMARELO)</t>
  </si>
  <si>
    <t>6.6</t>
  </si>
  <si>
    <t>CABO FLEXÍVEL, PVC (70° C), 450/750 V, 2,5 MM2  (VERDE)</t>
  </si>
  <si>
    <t>6.7</t>
  </si>
  <si>
    <t>CABO FLEXÍVEL, PVC (70° C), 450/750 V, 2,5 MM2  (BRANCO)</t>
  </si>
  <si>
    <t>6.8</t>
  </si>
  <si>
    <t>CABO FLEXÍVEL, PVC (70° C), 450/750 V, 2,5 MM2  (PRETO)</t>
  </si>
  <si>
    <t>6.9</t>
  </si>
  <si>
    <t>CABO ISOLADO PVC 750 V, No. 10 MM2 (PRETO)</t>
  </si>
  <si>
    <t>6.10</t>
  </si>
  <si>
    <t>CABO ISOLADO PVC 750 V, No. 10 MM2 (AZUL)</t>
  </si>
  <si>
    <t>6.11</t>
  </si>
  <si>
    <t>CABO ISOLADO PVC 750 V, No. 10 MM2 (BRANCO)</t>
  </si>
  <si>
    <t>6.12</t>
  </si>
  <si>
    <t>CABO ISOLADO PVC 750 V, No. 10 MM2 (VERDE)</t>
  </si>
  <si>
    <t>6.13</t>
  </si>
  <si>
    <t>CABO ISOLADO PVC 750 V, No. 10 MM2 (VERMELHO)</t>
  </si>
  <si>
    <t>6.14</t>
  </si>
  <si>
    <t>DISJUNTOR BIPOLAR DE 10A</t>
  </si>
  <si>
    <t>6.15</t>
  </si>
  <si>
    <t>DISJUNTOR BIPOLAR DE 20A</t>
  </si>
  <si>
    <t>6.16</t>
  </si>
  <si>
    <t>3261</t>
  </si>
  <si>
    <t>DISJUNTOR TERMOMAGNÉTICO TRIPOLAR 40A</t>
  </si>
  <si>
    <t>6.17</t>
  </si>
  <si>
    <t>ELETRODUTO PVC FLEXÍVEL - MANGUEIRA CORRUGADA LEVE - DIAM. 25MM</t>
  </si>
  <si>
    <t>6.18</t>
  </si>
  <si>
    <t>ELETRODUTO PVC FLEXÍVEL - MANGUEIRA CORRUGADA LEVE - DIAM. 32MM</t>
  </si>
  <si>
    <t>6.19</t>
  </si>
  <si>
    <t>72201</t>
  </si>
  <si>
    <t>QUADRO DE DISTRIBUIÇÃO DE EMBUTIR METÁLICO CB-44E - 150A</t>
  </si>
  <si>
    <t>6.20</t>
  </si>
  <si>
    <t>TAMPA PARA CONDULETE DE PVC PARA 1 TOMADA</t>
  </si>
  <si>
    <t>6.21</t>
  </si>
  <si>
    <t>TAMPA PARA CONDULETE DE PVC PARA 1 INTERRUPTOR E 1 TOMADA</t>
  </si>
  <si>
    <t>6.22</t>
  </si>
  <si>
    <t>TAMPA CEGA PARA CONDULETE DE PVC</t>
  </si>
  <si>
    <t>6.23</t>
  </si>
  <si>
    <t>LUMINÁRIA DE EMERGÊNCIA 30 LEDS</t>
  </si>
  <si>
    <t>6.24</t>
  </si>
  <si>
    <t>FITA DE AUTO FUSÃO, ROLO E 10,00 MM</t>
  </si>
  <si>
    <t>6.25</t>
  </si>
  <si>
    <t>CAIXA METÁLICA OCTOGONAL FUNDO MÓVEL, SIMPLES 2"</t>
  </si>
  <si>
    <t>6.26</t>
  </si>
  <si>
    <t>CONDULETE DE PVC - CAIXA COM 5 ENTRADAS</t>
  </si>
  <si>
    <t>6.27</t>
  </si>
  <si>
    <t>CONECTOR TRIPOLAR EM PORCELANA PARA FIOS DE ATÉ 10MM2 (BORNES) 50A-250V ( CHUVEIRO</t>
  </si>
  <si>
    <t>6.28</t>
  </si>
  <si>
    <t>INTERRUPTOR SIMPLES (1 SECAO)</t>
  </si>
  <si>
    <t>6.29</t>
  </si>
  <si>
    <t>71443</t>
  </si>
  <si>
    <t>INTERRUPTOR SIMPLES + 1 TOMADA HEXAGONAL 2P+T 10A</t>
  </si>
  <si>
    <t>6.30</t>
  </si>
  <si>
    <t>TOMADA HEXAGONAL 2P + T - 10A - 250V (LINHA X OU EQUIVALENTE)</t>
  </si>
  <si>
    <t>6.31</t>
  </si>
  <si>
    <t>TOMADA HEXAGONAL 2P + T - 20A - 250V (LINHA X OU EQUIVALENTE)</t>
  </si>
  <si>
    <t>6.32</t>
  </si>
  <si>
    <t>CAIXA DE PASSAGEM 30X30X40CM COM TAMPA E DRENO BRITA</t>
  </si>
  <si>
    <t>6.33</t>
  </si>
  <si>
    <t>CABO DE COBRE NU No. 25 MM2 (4,73 M /KG)</t>
  </si>
  <si>
    <t>6.34</t>
  </si>
  <si>
    <t>HASTE REV.COBRE(COPPERWELD) 3/4" X 2,40 M C/CONECTOR</t>
  </si>
  <si>
    <t>6.35</t>
  </si>
  <si>
    <t>COMPOSIÇÃO 2</t>
  </si>
  <si>
    <t>CONECTOR PARA HASTE DE ATERRAMENTO 3/4"</t>
  </si>
  <si>
    <t>6.36</t>
  </si>
  <si>
    <t>71186</t>
  </si>
  <si>
    <t>DISPOSITIVO DE PROTEÇÃO CONTRA SURTOS (D.P.S.) 275V DE 90KA</t>
  </si>
  <si>
    <t>GRUPO DE SERVIÇO: 170 - INSTALAÇÕES HIDRO-SANITÁRIAS depois com o projeto</t>
  </si>
  <si>
    <t>080000</t>
  </si>
  <si>
    <t>INSTALAÇÕES HIDROSSANITÁRIAS</t>
  </si>
  <si>
    <t>ÁGUA FRIA</t>
  </si>
  <si>
    <t>7.1</t>
  </si>
  <si>
    <t>CHUVEIRO ELÉTRICO EM PVC COM BRAÇO METÁLICO</t>
  </si>
  <si>
    <t xml:space="preserve">Vide projeto hidráulico </t>
  </si>
  <si>
    <t>7.2</t>
  </si>
  <si>
    <t>CUBA DE LOUÇA DE EMBUTIR OVAL MÉDIA</t>
  </si>
  <si>
    <t>7.3</t>
  </si>
  <si>
    <t>TORNEIRA DE MESA PARA PIA DIÂMETRO DE 1/2" - BICA MÓVEL</t>
  </si>
  <si>
    <t>7.4</t>
  </si>
  <si>
    <t>LIGAÇÃO FLEXÍVEL PVC DIAM.1/2" (ENGATE)</t>
  </si>
  <si>
    <t>7.5</t>
  </si>
  <si>
    <t>SIFÃO PVC P/PIA 1.1/2" X 2"</t>
  </si>
  <si>
    <t>7.6</t>
  </si>
  <si>
    <t>PORTA PAPEL HIGIÊNICO EM METAL/ACABAMENTO CROMADO</t>
  </si>
  <si>
    <t>7.7</t>
  </si>
  <si>
    <t xml:space="preserve"> 95547</t>
  </si>
  <si>
    <t>SABONETEIRA PLÁSTICA TIPO DISPENSER PARA SABONETE LÍQUIDO COM RESERVATÓRIO UN 800 A 1500 ML, INCLUSO FIXAÇÃO</t>
  </si>
  <si>
    <t>7.8</t>
  </si>
  <si>
    <t>CONJUNTO DE FIXAÇÃO P/VASO SANITÁRIO (PAR)</t>
  </si>
  <si>
    <t>UNIDADE</t>
  </si>
  <si>
    <t>7.9</t>
  </si>
  <si>
    <t>TUBO SOLDÁVEL PVC MARROM DIAMETRO 50 mm</t>
  </si>
  <si>
    <t>7.10</t>
  </si>
  <si>
    <t>REGISTRO DE GAVETA C/CANOPLA DIÂMETRO 3/4"</t>
  </si>
  <si>
    <t>7.11</t>
  </si>
  <si>
    <t>REGISTRO DE PRESSÃO C/CANOPLA CROMADA DIÂM.3/4"</t>
  </si>
  <si>
    <t>7.12</t>
  </si>
  <si>
    <t>REGISTRO DE GAVETA BRUTO DIÂMETRO 1.1/2"</t>
  </si>
  <si>
    <t>Caixa d´água</t>
  </si>
  <si>
    <t>7.13</t>
  </si>
  <si>
    <t>JOELHO 90 GRAUS DIÂMETRO 75 MM</t>
  </si>
  <si>
    <t>7.14</t>
  </si>
  <si>
    <t>H244</t>
  </si>
  <si>
    <t>TUBO SOLDAVEL PVC MARROM DIAM. 50 MM</t>
  </si>
  <si>
    <t>7.15</t>
  </si>
  <si>
    <t>81424</t>
  </si>
  <si>
    <t xml:space="preserve">TE REDUÇÃO 90 GRAUS SOLDÁVEL 50 X 25 mm    </t>
  </si>
  <si>
    <t>7.16</t>
  </si>
  <si>
    <t>H221</t>
  </si>
  <si>
    <t>TE 90 GRAUS SOLDÁVEL DIÂMETRO 25 mm</t>
  </si>
  <si>
    <t>7.17</t>
  </si>
  <si>
    <t>81326</t>
  </si>
  <si>
    <t>JOELHO 90 GRAUS SOLDÁVEL DIÂMETRO 75 MM</t>
  </si>
  <si>
    <t>7.18</t>
  </si>
  <si>
    <t>H248</t>
  </si>
  <si>
    <t>TUBO SOLDAVEL PVC MARROM DIAM. 25 MM</t>
  </si>
  <si>
    <t>7.19</t>
  </si>
  <si>
    <t>H246</t>
  </si>
  <si>
    <t>TUBO SOLDAVEL PVC MARROM DIAM. 75 MM</t>
  </si>
  <si>
    <t>7.20</t>
  </si>
  <si>
    <t>H336</t>
  </si>
  <si>
    <t>CORPO CAIXA SIFONADA 150 X 150 X 50 MM</t>
  </si>
  <si>
    <t>7.21</t>
  </si>
  <si>
    <t>H164</t>
  </si>
  <si>
    <t>JOELHO 90 GRAUS SOLDÁVEL DIÂMETRO 25 MM</t>
  </si>
  <si>
    <t>7.22</t>
  </si>
  <si>
    <t>H311</t>
  </si>
  <si>
    <t>LUVA SOLDAVEL COM ROSCA 25 X 3/4"</t>
  </si>
  <si>
    <t>7.23</t>
  </si>
  <si>
    <t>COMPOSIÇÃO 5</t>
  </si>
  <si>
    <t>DUCHA HIGIÊNICA</t>
  </si>
  <si>
    <t>Vestiário masculino</t>
  </si>
  <si>
    <t>7.24</t>
  </si>
  <si>
    <t>81375</t>
  </si>
  <si>
    <t>JOELHO DE REDUÇÃO 90 GRAUS COM ROSCA E BUCHA LATÃO 3/4 "X 1/2"</t>
  </si>
  <si>
    <t>Vide projeto hidráulico</t>
  </si>
  <si>
    <t>7.25</t>
  </si>
  <si>
    <t>81066</t>
  </si>
  <si>
    <t>ADAPTADOR SOLDÁVEL CURTO C/ BOLSA E ROSCA PARA REGISTRO 25X3/4</t>
  </si>
  <si>
    <t xml:space="preserve">ESGOTO SANITÁRIO </t>
  </si>
  <si>
    <t>7.26</t>
  </si>
  <si>
    <t>TUBO SOLD.P/ESGOTO DIÂM. 40 MM</t>
  </si>
  <si>
    <t>7.27</t>
  </si>
  <si>
    <t>TUBO SOLD. P/ESGOTO DIÂM. 50 MM</t>
  </si>
  <si>
    <t>7.28</t>
  </si>
  <si>
    <t>TUBO SOLDÁVEL P/ESGOTO DIÂM. 100 MM</t>
  </si>
  <si>
    <t>7.29</t>
  </si>
  <si>
    <t>CAIXA DE PASSAGEM 60 X 60 CM SEM TAMPA</t>
  </si>
  <si>
    <t>7.30</t>
  </si>
  <si>
    <t>TAMPA EM CONCRETO ARMADO 25 MPA E=5CM PARA A CAIXA DE PASSAGEM 60X60CM</t>
  </si>
  <si>
    <t>7.31</t>
  </si>
  <si>
    <t>JOELHO 90 GRAUS DIÂMETRO 40 MM</t>
  </si>
  <si>
    <t>7.32</t>
  </si>
  <si>
    <t>TE 90 GRAUS DIÂMETRO 40 MM - ESGOTO</t>
  </si>
  <si>
    <t>7.33</t>
  </si>
  <si>
    <t>81164</t>
  </si>
  <si>
    <t>BUCHA DE REDUÇÃO SOLDÁVEL CURTO 50X40 MM</t>
  </si>
  <si>
    <t>7.34</t>
  </si>
  <si>
    <t>CURVA 45 GRAUS DIÂMETRO 40 MM</t>
  </si>
  <si>
    <t>7.35</t>
  </si>
  <si>
    <t>CURVA 45 GRAUS DIÂMETRO 100 MM</t>
  </si>
  <si>
    <t>7.36</t>
  </si>
  <si>
    <t>JOELHO 45 GRAUS DIÂMETRO 50 MM</t>
  </si>
  <si>
    <t>7.37</t>
  </si>
  <si>
    <t>JOELHO 90 GRAUS DIÂMETRO 100 MM</t>
  </si>
  <si>
    <t>7.38</t>
  </si>
  <si>
    <t>81973</t>
  </si>
  <si>
    <t>JUNÇÃO SIMPLES DIÂM. 100 X 50 MM</t>
  </si>
  <si>
    <t>7.39</t>
  </si>
  <si>
    <t>81975</t>
  </si>
  <si>
    <t>JUNÇÃO SIMPLES DIÂM. 100 X 100 MM</t>
  </si>
  <si>
    <t>7.40</t>
  </si>
  <si>
    <t>JOELHO 90 GRAUS DIÂMETRO 50 MM</t>
  </si>
  <si>
    <t>7.41</t>
  </si>
  <si>
    <t>TE SANITÁRIO DIÂMETRO 100 X 50 MM</t>
  </si>
  <si>
    <t>7.42</t>
  </si>
  <si>
    <t>COMPOSIÇÃO 4</t>
  </si>
  <si>
    <t>VASO SANITÁRIO INFANTIL COM CAIXA ACOPLADA E ASSENTO</t>
  </si>
  <si>
    <t>W.C. Masculino infantil</t>
  </si>
  <si>
    <t>7.43</t>
  </si>
  <si>
    <t>COMPOSIÇÃO 7</t>
  </si>
  <si>
    <t>CAIXA COM GRELHA RETANGULAR DE FERRO FUNDIDO, DIMENSÕES INTERNAS: 0,15 X 1,00 X 0,3 M, INCLUSO CANALETA</t>
  </si>
  <si>
    <t>ÁGUA PLUVIAL</t>
  </si>
  <si>
    <t>7.44</t>
  </si>
  <si>
    <t>COMPOSIÇÃO 1</t>
  </si>
  <si>
    <t>RALO ABACAXI 100 MM 4''</t>
  </si>
  <si>
    <t>Vide projeto de águas pluviais</t>
  </si>
  <si>
    <t>7.45</t>
  </si>
  <si>
    <t>Vide projeto de aguas pluviais</t>
  </si>
  <si>
    <t>7.46</t>
  </si>
  <si>
    <t>TE SANITÁRIO DIÂMETRO 100 X 100 MM</t>
  </si>
  <si>
    <t>7.47</t>
  </si>
  <si>
    <t>LUVA SIMPLES DIÂM. 100 MM</t>
  </si>
  <si>
    <t>7.48</t>
  </si>
  <si>
    <t xml:space="preserve">Condutor Vertical </t>
  </si>
  <si>
    <t xml:space="preserve">GRUPO DE SERVIÇO: 172 - ALVENARIA E DIVISÓRIA </t>
  </si>
  <si>
    <t>8</t>
  </si>
  <si>
    <t>ALVENARIA E DIVISÓRIA</t>
  </si>
  <si>
    <t>8.1</t>
  </si>
  <si>
    <t>ALVENARIA DE TIJOLO FURADO 1/2 VEZ 14X29X9 - 6 FUROS - ARG. (1CALH:4ARML+100KG DE CI/M3)</t>
  </si>
  <si>
    <t>SALA 1</t>
  </si>
  <si>
    <t>Desconto porta</t>
  </si>
  <si>
    <t>Desconto janela</t>
  </si>
  <si>
    <t>SALA 2</t>
  </si>
  <si>
    <t>Alvenaria da platibanda</t>
  </si>
  <si>
    <t>8.2</t>
  </si>
  <si>
    <t>DIVISÓRIA DE GRANITO POLIDO</t>
  </si>
  <si>
    <t>W.C. INFANTIL</t>
  </si>
  <si>
    <t>8.3</t>
  </si>
  <si>
    <t>ELEMENTO VAZADO CERÂMICO (6 x 18 x 18)</t>
  </si>
  <si>
    <t xml:space="preserve"> Pequena área de fechamaneto do Corredor (vide projeto arquitetônico)</t>
  </si>
  <si>
    <t>GRUPO DE SERVIÇO: 174 - IMPERMEABILIZAÇÃO</t>
  </si>
  <si>
    <t>9</t>
  </si>
  <si>
    <t>IMPERMEABILIZAÇÃO</t>
  </si>
  <si>
    <t>9.1</t>
  </si>
  <si>
    <t xml:space="preserve">MANTA ASFÁLTICA TIPO III - B ( 3 MM)    </t>
  </si>
  <si>
    <t>Laje</t>
  </si>
  <si>
    <t>Baldrames</t>
  </si>
  <si>
    <t>9.2</t>
  </si>
  <si>
    <t xml:space="preserve"> 98561</t>
  </si>
  <si>
    <t xml:space="preserve">IMPERMEABILIZAÇÃO DE PAREDES COM ARGAMASSA DE CIMENTO E AREIA, COM ADITIVO  IMPERMEABILIZANTE, E = 2CM   </t>
  </si>
  <si>
    <t>GRUPO DE SERVIÇO: 176 - ESTRUTURA DE MADEIRAS</t>
  </si>
  <si>
    <t>10</t>
  </si>
  <si>
    <t>ESTRUTURA DE MADEIRA</t>
  </si>
  <si>
    <t>10.1</t>
  </si>
  <si>
    <t>ESTRUT. TELHA DE FIBROCIMENTO (C/TESOURA) C/FERRAGENS</t>
  </si>
  <si>
    <t>10.2</t>
  </si>
  <si>
    <t xml:space="preserve"> 100384</t>
  </si>
  <si>
    <t>FABRICAÇÃO E INSTALAÇÃO DE PONTALETES DE MADEIRA NÃO APARELHADA PARA TELHADOS COM ATÉ 2 ÁGUAS E COM TELHA ONDULADA DE FIBROCIMENTO, ALUMÍNIO OU PLÁSTICA EM EDIFÍCIO INSTITUCIONAL TÉRREO, INCLUSO TRANSPORTE VERTICAL</t>
  </si>
  <si>
    <t>GRUPO DE SERVIÇO: 178 - COBERTURA</t>
  </si>
  <si>
    <t>11</t>
  </si>
  <si>
    <t>COBERTURAS</t>
  </si>
  <si>
    <t>11.1</t>
  </si>
  <si>
    <t xml:space="preserve"> 94228</t>
  </si>
  <si>
    <t>CALHA EM CHAPA DE AÇO GALVANIZADO NÚMERO 24, DESENVOLVIMENTO DE 50 CM, INCLUSO TRANSPORTE VERTICAL.</t>
  </si>
  <si>
    <t xml:space="preserve">Calha </t>
  </si>
  <si>
    <t>11.2</t>
  </si>
  <si>
    <t>RUFO DE CHAPA GALVANIZADA</t>
  </si>
  <si>
    <t xml:space="preserve">Rufos </t>
  </si>
  <si>
    <t>11.3</t>
  </si>
  <si>
    <t>COBERTURA COM TELHA ONDULADA OU EQUIV. (FIBROCIMENTO)</t>
  </si>
  <si>
    <t>GRUPO DE SERVIÇO: 179 - ESQUADRIAS DE MADEIRAS</t>
  </si>
  <si>
    <t>12</t>
  </si>
  <si>
    <t xml:space="preserve">ESQUADRIA DE MADEIRA </t>
  </si>
  <si>
    <t>12.1</t>
  </si>
  <si>
    <t>PORTA LISA 80x210 C/PORTAL E ALISAR S/FERRAGENS, CONFORME PROJETO ARQ.</t>
  </si>
  <si>
    <t>12.2</t>
  </si>
  <si>
    <t>170111</t>
  </si>
  <si>
    <t>PORTA LISA 100x210 C/PORTAL E ALISAR S/FERRAGENS, CONFORME PROJETO ARQ.</t>
  </si>
  <si>
    <t>13</t>
  </si>
  <si>
    <t>ESQUADRIAS METÁLICAS  rever medida pessoalmente</t>
  </si>
  <si>
    <t>13.1</t>
  </si>
  <si>
    <t xml:space="preserve"> 94573</t>
  </si>
  <si>
    <t>JANELA DE ALUMÍNIO DE CORRER COM 4 FOLHAS PARA VIDROS, COM VIDROS, BATENTE ACABAMENTO COM ACETATO OU BRILHANTE E FERRAGENS</t>
  </si>
  <si>
    <t>Sala 1 (1 unidade)</t>
  </si>
  <si>
    <t>Sala 2 (3 unidades)</t>
  </si>
  <si>
    <t>13.2</t>
  </si>
  <si>
    <t>94569</t>
  </si>
  <si>
    <t xml:space="preserve">JANELA DE ALUMÍNIO TIPO MAXIM-AR, COM VIDROS, BATENTE E FERRAGENS. </t>
  </si>
  <si>
    <t>WC Infantil  (1 unidade)</t>
  </si>
  <si>
    <t>13.3</t>
  </si>
  <si>
    <t>180124</t>
  </si>
  <si>
    <t>PORTA DE ABRIR EM ALUMINIO, 01 FOLHA VENEZIANA, ACABAMENTO EM PINTURA ELETROSTÁTICA BRANCA - INCLUSO FERRAGENS (M.O.FAB.INC.MAT.</t>
  </si>
  <si>
    <t>Portinhola alçapão</t>
  </si>
  <si>
    <t>GRUPO DE SERVIÇO: 182 - REVESTIMENTO DE PAREDES</t>
  </si>
  <si>
    <t>14</t>
  </si>
  <si>
    <t>REVESTIMENTO DE PAREDE</t>
  </si>
  <si>
    <t>14.1</t>
  </si>
  <si>
    <t>REVESTIMENTO COM CERÂMICA</t>
  </si>
  <si>
    <t xml:space="preserve">   Desconto de vão de janela </t>
  </si>
  <si>
    <t xml:space="preserve">   Desconto de vão de porta</t>
  </si>
  <si>
    <t>14.2</t>
  </si>
  <si>
    <t>CHAPISCO COMUM</t>
  </si>
  <si>
    <t>14.3</t>
  </si>
  <si>
    <t>EMBOÇO (1CI:4 ARML)</t>
  </si>
  <si>
    <t>ALTURA(M)</t>
  </si>
  <si>
    <t>14.4</t>
  </si>
  <si>
    <t>200403</t>
  </si>
  <si>
    <t>REBOCO (1CALH:4 ARFC+100KGCI/M3)</t>
  </si>
  <si>
    <t>GRUPO DE SERVIÇO: 183 - REVESTIMENTO DE PISO</t>
  </si>
  <si>
    <t>15</t>
  </si>
  <si>
    <t>REVESTIMENTO DE PISO</t>
  </si>
  <si>
    <t>15.1</t>
  </si>
  <si>
    <t>CERÂMICA ANTIDERRAPANTE PEI MAIOR OU IGUAL A 4 COM CONTRA PISO (1CI:3ARML) E ARGAMASSA COLANTE</t>
  </si>
  <si>
    <t>15.2</t>
  </si>
  <si>
    <t>SOLEIRA EM GRANITO IMPERMEABILIZADA COM CONTRAPISO (1CI:3ARML)</t>
  </si>
  <si>
    <t>Porta Sala 1</t>
  </si>
  <si>
    <t>Porta Sala 2</t>
  </si>
  <si>
    <t>Porta WC Infantil</t>
  </si>
  <si>
    <t>15.3</t>
  </si>
  <si>
    <t>RODAPÉ DE CERÂMICA ANTIDERRAPANTE COM ARGAMASSA COLANTE</t>
  </si>
  <si>
    <t>GRUPO DE SERVIÇO: 184 - FERRAGENS</t>
  </si>
  <si>
    <t>16</t>
  </si>
  <si>
    <t>FERRAGENS</t>
  </si>
  <si>
    <t>16.1</t>
  </si>
  <si>
    <t>FECH.(ALAV.) LAFONTE 6236 E/8766- E17 IMAB OU EQUIV</t>
  </si>
  <si>
    <t>16.2</t>
  </si>
  <si>
    <t>DOBRADIÇA 3" x 3 1/2" FERRO POLIDO</t>
  </si>
  <si>
    <t>GRUPO DE SERVIÇO: 185 - ADMINISTRAÇÃO - MENSALISTAS de lado</t>
  </si>
  <si>
    <t>17</t>
  </si>
  <si>
    <t>ADMINISTRAÇÃO - MENSALISTAS</t>
  </si>
  <si>
    <t>17.1</t>
  </si>
  <si>
    <t>ENGENHEIRO - (OBRAS CIVIS)</t>
  </si>
  <si>
    <t>H</t>
  </si>
  <si>
    <t>TEMPO</t>
  </si>
  <si>
    <t>5 horas por dia</t>
  </si>
  <si>
    <t>h</t>
  </si>
  <si>
    <t>17.2</t>
  </si>
  <si>
    <t>ENCARREGADO - (OBRAS CIVIS)</t>
  </si>
  <si>
    <t>8 horas por dia</t>
  </si>
  <si>
    <t>17.3</t>
  </si>
  <si>
    <t xml:space="preserve">VIGIA DE OBRAS - (NOTURNO E NO SÁBADO/DOMINGO DIURNO) - O.C.  </t>
  </si>
  <si>
    <t>12 horas por dia</t>
  </si>
  <si>
    <t>17.4</t>
  </si>
  <si>
    <t>250104</t>
  </si>
  <si>
    <t>VIGIA DE OBRAS - DIURNO (OBRAS CIVIS)</t>
  </si>
  <si>
    <t>12 horas por dia (SÁBADO E DOMINGO)</t>
  </si>
  <si>
    <t>GRUPO DE SERVIÇO: 186 - PINTURA</t>
  </si>
  <si>
    <t>18</t>
  </si>
  <si>
    <t>PINTURA</t>
  </si>
  <si>
    <t>18.1</t>
  </si>
  <si>
    <t>EMASSAMENTO COM MASSA PVA DUAS DEMÃOS</t>
  </si>
  <si>
    <t>Teto</t>
  </si>
  <si>
    <t>18.2</t>
  </si>
  <si>
    <t>PINT.ESMALTE SINT.PAREDES - 2 DEM.C/SELADOR</t>
  </si>
  <si>
    <t>18.3</t>
  </si>
  <si>
    <t>PINTURA LATÉX ACRÍLICO 2 DEMÃOS</t>
  </si>
  <si>
    <t>GRUPO DE SERVIÇO: 187 - DIVERSOS</t>
  </si>
  <si>
    <t>19</t>
  </si>
  <si>
    <t>DIVERSOS</t>
  </si>
  <si>
    <t>19.1</t>
  </si>
  <si>
    <t>LIMPEZA FINAL DE OBRA - (OBRAS CIVIS)</t>
  </si>
  <si>
    <t>Limpeza de entulhos da obra e em geral</t>
  </si>
  <si>
    <t>19.2</t>
  </si>
  <si>
    <t>COMPOSIÇÃO 3</t>
  </si>
  <si>
    <t>ESPELHO 40X50 CM</t>
  </si>
  <si>
    <t>WC Infantil 3 unidades</t>
  </si>
  <si>
    <t>19.3</t>
  </si>
  <si>
    <t>COMPOSIÇÃO 6</t>
  </si>
  <si>
    <t>BANCADA EM GRANITO INSTALADA</t>
  </si>
  <si>
    <t xml:space="preserve">  Desconto de pia</t>
  </si>
  <si>
    <t>19.4</t>
  </si>
  <si>
    <t xml:space="preserve"> 101965</t>
  </si>
  <si>
    <t>PEITORIL DE MÁMORE / GRANITO</t>
  </si>
  <si>
    <t>19.5</t>
  </si>
  <si>
    <t>TAPUME EM CHAPA COMPENSADA RESINADA 6MM COM PORTÕES E FERRAGENS</t>
  </si>
  <si>
    <t>Ao redor da obra</t>
  </si>
  <si>
    <t>Elaborado por:</t>
  </si>
  <si>
    <t>________________________________</t>
  </si>
  <si>
    <t>Rafaiane Gonçalves Purcino</t>
  </si>
  <si>
    <t>CREA: 1017759553/D-GO</t>
  </si>
  <si>
    <t>TABELA SINAPI -  (SETEMBRO/2023) - DESONERADA</t>
  </si>
  <si>
    <t>PLANILHA ORÇAMENTÁRIA</t>
  </si>
  <si>
    <t>TABELA</t>
  </si>
  <si>
    <t xml:space="preserve">CÓD. </t>
  </si>
  <si>
    <t xml:space="preserve">DESCRIÇÃO </t>
  </si>
  <si>
    <t>QUANTIDADE</t>
  </si>
  <si>
    <t>MATERIAL</t>
  </si>
  <si>
    <t>MÃO DE OBRA</t>
  </si>
  <si>
    <t>SINAPI</t>
  </si>
  <si>
    <t>GOINFRA</t>
  </si>
  <si>
    <t>GRUPO DE SERVIÇO 165: TRANSPORTES</t>
  </si>
  <si>
    <t>GRUPO DE SERVIÇO 166: SERVIÇOS EM TERRA</t>
  </si>
  <si>
    <t>GRUPO DE SERVIÇO 167: FUNDAÇÕES E SONDAGENS</t>
  </si>
  <si>
    <t>GRUPO DE SERVIÇO 168: ESTRUTURAS</t>
  </si>
  <si>
    <t>ESTRUTURAS</t>
  </si>
  <si>
    <t>GRUPO DE SERVIÇO 169: INST. ELÉT./TELEFÔNICA/CABEAMENTO ESTRUTURADO</t>
  </si>
  <si>
    <t xml:space="preserve"> INST. ELÉT./TELEFÔNICA/CABEAMENTO ESTRUTURADO</t>
  </si>
  <si>
    <t>GRUPO DE SERVIÇO 170: INSTALAÇÃO HIDROSSANITÁRIA</t>
  </si>
  <si>
    <t>INSTALAÇÃO HIDROSSANITÁRIA</t>
  </si>
  <si>
    <t>LOUÇAS E AGUA FRIA</t>
  </si>
  <si>
    <t>ESGOTO SANITÁRIO</t>
  </si>
  <si>
    <t>GRUPO DE SERVIÇO 172: ALVENARIAS E DIVISÓRIAS</t>
  </si>
  <si>
    <t>ALVENARIAS E DIVISÓRIAS</t>
  </si>
  <si>
    <t>GRUPO DE SERVIÇO 174: IMPERMEABILIZAÇÃO</t>
  </si>
  <si>
    <t>IMPERMEABILIZAÇÃO DE SUPERFÍCIE COM ARGAMASSA DE CIMENTO E AREIA, COM ADITIVO IMPERMEABILIDADE, E = 1,5CM</t>
  </si>
  <si>
    <t>GRUPO DE SERVIÇO 176: ESTRUTURAS DE MADEIRAS</t>
  </si>
  <si>
    <t>ESTRUTURAS DE MADEIRA</t>
  </si>
  <si>
    <t>GRUPO DE SERVIÇO 178: COBERTURA</t>
  </si>
  <si>
    <t>GRUPOS DE SERVIÇO 179: ESQUADRIAS DE MADEIRAS</t>
  </si>
  <si>
    <t>ESQUADRIAS MADEIRA</t>
  </si>
  <si>
    <t>GRUPO DE SERVIÇO 180: ESQUADRIAS METÁLICAS</t>
  </si>
  <si>
    <t>ESQUADRIAS METÁLICAS</t>
  </si>
  <si>
    <t>GRUPO DE SERVIÇO 182: REVESTIMENTO DE PAREDES</t>
  </si>
  <si>
    <t>GRUPO DE SERVIÇO 183: REVESTIMENTO DE PISO</t>
  </si>
  <si>
    <t>GRUPO DE SERVIÇO: 185 - ADMINISTRAÇÃO - MENSALISTAS</t>
  </si>
  <si>
    <t xml:space="preserve">m </t>
  </si>
  <si>
    <t>TOTAIS</t>
  </si>
  <si>
    <t>TOTAL :</t>
  </si>
  <si>
    <t>BDI (23,88):</t>
  </si>
  <si>
    <t>TOTAL COM BDI :</t>
  </si>
  <si>
    <t>Aprovado por:</t>
  </si>
  <si>
    <t>_______________________________________</t>
  </si>
  <si>
    <t>Leonardo Pereira Santa Cecília</t>
  </si>
  <si>
    <t>Secretário Municipal de Educação</t>
  </si>
  <si>
    <t>PREFEITURA MUNICIPAL DE CATALÃO</t>
  </si>
  <si>
    <t xml:space="preserve"> AMPLIAÇÃO 2 SALAS E BANHEIROS PADRÃO FNDE (CRECHE TIPO I)</t>
  </si>
  <si>
    <t>COTAÇÃO DE PREÇOS PARA MATERIAIS DE CONSTRUÇÃO</t>
  </si>
  <si>
    <t>COTAÇÃO 1</t>
  </si>
  <si>
    <t>FORNECEDOR 1</t>
  </si>
  <si>
    <t>NOME EMPRESARIAL:  Teky Intermediação de Negócios em Suprimentos Empresarias LTDA
CNPJ: 22.193.309/0001-88
ENDEREÇO: Av. Voluntários da Pátria, nº 2035, Sala C - Floresta, Porto Alegre - Rio Grande do Sul , 90230-011</t>
  </si>
  <si>
    <t>DESCRIÇÃO</t>
  </si>
  <si>
    <t>UN</t>
  </si>
  <si>
    <t>VALOR</t>
  </si>
  <si>
    <t>RALO ABACAXI FERRO FUNDIDO 100MM</t>
  </si>
  <si>
    <t>FORNECEDOR 2</t>
  </si>
  <si>
    <t>NOME EMPRESARIAL:  Magazine Luiza S/A 
CNPJ: 47.960.950/1088-36
ENDEREÇO: Rua Arnulfo de Lima, 2385 - Vila Santa Cruz, Franca/SP - CEP 14.403-471</t>
  </si>
  <si>
    <t>RALO SEMIESFÉRICO TIPO ABACAXI 100MM DIÂMETRO 4 POLEGADAS</t>
  </si>
  <si>
    <t>FORNECEDOR 3</t>
  </si>
  <si>
    <t>NOME EMPRESARIAL:  Amoedo Bottino Materiais de Contrução LTDA
CNPJ: 05.879.152/0009-87
ENDEREÇO:Avenida Das Americas 21.783 : 21.783 Fundos; Recreio dos Bandeirantes- Rio de Janeiro RJ - 22790-851</t>
  </si>
  <si>
    <t>RALO ABACAXI 100MM DIÂMETRO 4 POLEGADAS</t>
  </si>
  <si>
    <t>Média</t>
  </si>
  <si>
    <t>COTAÇÃO 2</t>
  </si>
  <si>
    <t>NOME EMPRESARIAL: COMEL COMÉRCIO DE MATERIAIS ELÉTRICOS E HIDRÁULICOS LTDA
CNPJ:  04.123.471/0001-48 
ENDEREÇO: Av. Presidente Vargas, 912 - CEP: 96202-188, Junção, Rio Grande/RS</t>
  </si>
  <si>
    <t>CONECTOR DE ATERRAMENTO 3/4"</t>
  </si>
  <si>
    <t xml:space="preserve">NOME EMPRESARIAL: Santil Comercial Eletrica LTDA
CNPJ: 49.474.398/0008-63
ENDEREÇO: Rua Henrique Ongari, 214, Água Branca | 05037-150-São Paulo-SP </t>
  </si>
  <si>
    <t>CONECTOR P/ HASTE 3/4</t>
  </si>
  <si>
    <t>NOME EMPRESARIAL: EP ELÉTRICA
CNPJ: 27.178.283/0001-12
ENDEREÇO: AV. Silvio Teixeira, nº 655, Rotary Clubl - Itabaiana - SE 49506-105</t>
  </si>
  <si>
    <t>CONECTOR PARA HASTE DE ATERRAMENTO</t>
  </si>
  <si>
    <t>COTAÇÃO 3</t>
  </si>
  <si>
    <t>NOME EMPRESARIAL: HIPERTINTAS
CNPJ:  08.624.088/0001-24
ENDEREÇO:  Rua das Capoeiras 737, bairro Campo Grande, CEP: 23085-660 Rio de Janeiro</t>
  </si>
  <si>
    <t>Bucha Redução Krona Soldável Longa 50x32</t>
  </si>
  <si>
    <t>UND</t>
  </si>
  <si>
    <t>NOME EMPRESARIAL:  TUPAN
CNPJ: 00.279.531/0003-27
ENDEREÇO: : Rua Padre Teófilo Tworz, 120 - Afogados, Recife/PE, CEP: 50830-080</t>
  </si>
  <si>
    <t>Bucha Soldável Redução 50x32 Longa Amanco</t>
  </si>
  <si>
    <t>NOME EMPRESARIAL: C&amp;C Casa e Construção Ltda.
CNPJ:  63.004.030/0030-20
ENDEREÇO: Avenida Doutor Chucri Zaidan, 230- Vila Cordeiro São Paulo/SP</t>
  </si>
  <si>
    <t>Bucha de Redução em Pvc Soldável Longa 50x32mm Marrom</t>
  </si>
  <si>
    <t>COTAÇÃO 4</t>
  </si>
  <si>
    <t xml:space="preserve">NOME EMPRESARIAL: MERCADO LIVRE
CNPJ:  03.007.331/0001-41
ENDEREÇO:  Av. das Nações Unidas, n° 3.003, Bonfim, Osasco/SP - CEP 06233-903 </t>
  </si>
  <si>
    <t>KIT VAZO INFANTIL COM CAIXA ACOPLADA E ASSENTO</t>
  </si>
  <si>
    <t>NOME EMPRESARIAL:  MAGAZINE LUIZA
CNPJ: 47.960.950/1088-36
ENDEREÇO: Rua Arnulfo de Lima, 2385 - Vila Santa Cruz, Franca/Sp - CEP 14.403-471</t>
  </si>
  <si>
    <t>NOME EMPRESARIAL: LEROY MERLIN
CNPJ:  63.004.030.0030-20
ENDEREÇO: Avenida Doutor Chucri Zaidan, 230- Vila Cordeiro São Paulo/SP</t>
  </si>
  <si>
    <t>COTAÇÃO 5</t>
  </si>
  <si>
    <t xml:space="preserve">NOME EMPRESARIAL: MERCADO LIVRE
CNPJ:  03.007.331/0001-41
ENDEREÇO:  AV. das Nações Unidas, n° 3.003, Bonfim, Osasco/SP - CEP 06233-903 </t>
  </si>
  <si>
    <t xml:space="preserve"> KIT BOTÃO FRANCÊS C/ PARAFUSOS 4 UM</t>
  </si>
  <si>
    <t>NOME EMPRESARIAL:  DEPÓSITO DURSO
CNPJ: 38.285.302/0001-36
ENDEREÇO: : Rua Apuracana, nº 119 Tatuapé - SP</t>
  </si>
  <si>
    <t>___________________________________</t>
  </si>
  <si>
    <t>AMPLIAÇÃO 2 SALAS E BANHEIROS PADRÃO FNDE (CRECHE TIPO I)</t>
  </si>
  <si>
    <t>COMPOSIÇÕES DOS SERVIÇOS</t>
  </si>
  <si>
    <t>COMP. 1</t>
  </si>
  <si>
    <t>RALO ABACAXI 100MM 4''</t>
  </si>
  <si>
    <t>REFERÊNCIAS:</t>
  </si>
  <si>
    <t>COTAÇÃO MERCADO</t>
  </si>
  <si>
    <t>TABELA 212 GOINFRA -  (JULHO / 2023) CUSTOS DE OBRAS CIVIS - DESONERADA</t>
  </si>
  <si>
    <t>ENCANADOR</t>
  </si>
  <si>
    <t>AJUDANTE</t>
  </si>
  <si>
    <t>TOTAL SERVIÇOS (R$)</t>
  </si>
  <si>
    <t>COMP.2</t>
  </si>
  <si>
    <t>ELETRICISTA</t>
  </si>
  <si>
    <t>CONECTOR PARA HASTE DE ATERRAMENTO 3/4"X CABO 25 MM²</t>
  </si>
  <si>
    <t>COMP.3</t>
  </si>
  <si>
    <t>ESPELHO 40X50CM</t>
  </si>
  <si>
    <t>KIT BOTÃO FRANCÊS 4 UN</t>
  </si>
  <si>
    <t>M</t>
  </si>
  <si>
    <t>ESPELHO CRISTAL E = 4 MM</t>
  </si>
  <si>
    <t>M²</t>
  </si>
  <si>
    <t>SERVENTE</t>
  </si>
  <si>
    <t>COMP.4</t>
  </si>
  <si>
    <t>VASO SANITÁRIO INFANTIL COM CAIXA ACOPLADA</t>
  </si>
  <si>
    <t>COTAÇÃO DE MERCADO</t>
  </si>
  <si>
    <t>VASO SANITARIO INFANTIL COM CAIXA ACOPLADA</t>
  </si>
  <si>
    <t>H181</t>
  </si>
  <si>
    <t>ANEL DE VEDAÇÃO PARA VASO SANITÁRIO</t>
  </si>
  <si>
    <t>H179</t>
  </si>
  <si>
    <t>LIGACAO FLEXIVEL METÁLICO DIAMETRO 1/2" (ENGATE)</t>
  </si>
  <si>
    <t>H689</t>
  </si>
  <si>
    <t>FITA VEDAROSCA 18 MM</t>
  </si>
  <si>
    <t>H147</t>
  </si>
  <si>
    <t>CONJ.FIXACAO C/BUCHA PLAST. 10MM P/V.SANITARIO</t>
  </si>
  <si>
    <t>COMP.5</t>
  </si>
  <si>
    <t>DUCHA HIGIENICA PLASTICA COM REGISTRO METALICO 1/2 "</t>
  </si>
  <si>
    <t>COMP.6</t>
  </si>
  <si>
    <t>AREIA MEDIA</t>
  </si>
  <si>
    <t>M³</t>
  </si>
  <si>
    <t>GRANITO POLIDO P/BANCADA 2 CM</t>
  </si>
  <si>
    <t>CIMENTO PORTLAND C.P. 32</t>
  </si>
  <si>
    <t>FERRO T 1/8" X 1 1/4"</t>
  </si>
  <si>
    <t>PEDREIRO</t>
  </si>
  <si>
    <t>COMP.7</t>
  </si>
  <si>
    <t>CAIXA COM GRELHA RETANGULAR DE FERRO FUNDIDO, DIMENSÕES INTERNAS: 0,15X1,00X0,3M - INCLUSO CANALETA</t>
  </si>
  <si>
    <t>QUAN.</t>
  </si>
  <si>
    <t>UND.</t>
  </si>
  <si>
    <t>ARGAMASSA DE CIMENTO COLANTE</t>
  </si>
  <si>
    <t>GRELHA FOFO SIMPLES COM REQUADRO, CARGA MAXIMA 1,5 T, 200 X 1000 MM, E= *15* MM</t>
  </si>
  <si>
    <t>RETROESCAVADEIRA SOBRE RODAS COM CARREGADEIRA, TRAÇÃO 4X4, POTÊNCIA LÍQ. 88 HP, CAÇAMBA CARREG. CAP. MÍN. 1 M3, CAÇAMBA RETRO CAP. 0,26 M3, PESO OPERACIONAL MÍN. 6.674 KG, PROFUNDIDADE ESCAVAÇÃO MÁX. 4,37 M - CHI DIURNO.</t>
  </si>
  <si>
    <t>PREPARO DE FUNDO DE VALA COM LARGURA MAIOR OU IGUAL A 1,5 M E MENOR QUE 2,5 M, COM CAMADA DE BRITA, LANÇAMENTO MECANIZADO.</t>
  </si>
  <si>
    <t>CAIXA DE PASSAGEM 40X40X50CM FUNDO DE BRITA SEM TAMPA</t>
  </si>
  <si>
    <t>________________________________________________</t>
  </si>
  <si>
    <t>CREA:1017759553 /D-GO</t>
  </si>
  <si>
    <t>GRUPO DE SERVIÇO :164 - SERVIÇOS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</si>
</sst>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0.000"/>
    <numFmt numFmtId="168" formatCode="#,##0.000"/>
    <numFmt numFmtId="169" formatCode="_-[$R$-416]\ * #,##0.00_-;\-[$R$-416]\ * #,##0.00_-;_-[$R$-416]\ 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24"/>
      <color theme="1"/>
      <name val="Segoe UI"/>
      <family val="2"/>
    </font>
    <font>
      <b/>
      <sz val="12"/>
      <color rgb="FF262626"/>
      <name val="Raleway"/>
    </font>
    <font>
      <b/>
      <sz val="14"/>
      <color rgb="FF00000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 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 Black"/>
      <family val="2"/>
    </font>
    <font>
      <b/>
      <sz val="12"/>
      <color rgb="FF000000"/>
      <name val="Arial Black"/>
      <family val="2"/>
    </font>
    <font>
      <b/>
      <sz val="12"/>
      <name val="Arial Black"/>
      <family val="2"/>
    </font>
    <font>
      <b/>
      <sz val="12"/>
      <color rgb="FF000000"/>
      <name val="Arial Black"/>
      <family val="2"/>
    </font>
    <font>
      <b/>
      <sz val="12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/>
      <bottom style="thin">
        <color theme="2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5">
    <xf numFmtId="0" fontId="0" fillId="0" borderId="0" xfId="0"/>
    <xf numFmtId="2" fontId="4" fillId="2" borderId="0" xfId="0" applyNumberFormat="1" applyFont="1" applyFill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30" xfId="0" applyFont="1" applyBorder="1" applyAlignment="1">
      <alignment horizontal="left" vertical="center" wrapText="1"/>
    </xf>
    <xf numFmtId="0" fontId="0" fillId="2" borderId="0" xfId="0" applyFill="1"/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/>
    </xf>
    <xf numFmtId="165" fontId="5" fillId="7" borderId="1" xfId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/>
    </xf>
    <xf numFmtId="165" fontId="8" fillId="2" borderId="31" xfId="1" applyFont="1" applyFill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44" fontId="2" fillId="2" borderId="20" xfId="0" applyNumberFormat="1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5" fontId="4" fillId="0" borderId="0" xfId="1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/>
    </xf>
    <xf numFmtId="165" fontId="4" fillId="2" borderId="24" xfId="1" applyFont="1" applyFill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165" fontId="8" fillId="0" borderId="3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5" fontId="4" fillId="2" borderId="0" xfId="1" applyFont="1" applyFill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165" fontId="4" fillId="0" borderId="0" xfId="1" applyFont="1" applyBorder="1" applyAlignment="1">
      <alignment horizontal="left" vertical="center"/>
    </xf>
    <xf numFmtId="165" fontId="4" fillId="0" borderId="0" xfId="1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10" fontId="5" fillId="0" borderId="0" xfId="13" applyNumberFormat="1" applyFont="1" applyFill="1" applyAlignment="1">
      <alignment vertical="center"/>
    </xf>
    <xf numFmtId="165" fontId="5" fillId="6" borderId="13" xfId="1" applyFont="1" applyFill="1" applyBorder="1" applyAlignment="1">
      <alignment horizontal="center" vertical="center"/>
    </xf>
    <xf numFmtId="165" fontId="5" fillId="6" borderId="13" xfId="1" applyFont="1" applyFill="1" applyBorder="1" applyAlignment="1">
      <alignment horizontal="center" vertical="center" wrapText="1"/>
    </xf>
    <xf numFmtId="165" fontId="5" fillId="6" borderId="13" xfId="0" applyNumberFormat="1" applyFont="1" applyFill="1" applyBorder="1" applyAlignment="1">
      <alignment vertical="center"/>
    </xf>
    <xf numFmtId="165" fontId="5" fillId="6" borderId="13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2" fontId="3" fillId="0" borderId="1" xfId="2" quotePrefix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165" fontId="12" fillId="6" borderId="24" xfId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165" fontId="8" fillId="0" borderId="42" xfId="1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 wrapText="1"/>
    </xf>
    <xf numFmtId="2" fontId="9" fillId="0" borderId="42" xfId="0" applyNumberFormat="1" applyFont="1" applyBorder="1" applyAlignment="1">
      <alignment horizontal="center" vertical="center"/>
    </xf>
    <xf numFmtId="165" fontId="8" fillId="0" borderId="42" xfId="1" applyFont="1" applyBorder="1" applyAlignment="1">
      <alignment horizontal="left" vertical="center" wrapText="1"/>
    </xf>
    <xf numFmtId="165" fontId="4" fillId="0" borderId="42" xfId="1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wrapText="1"/>
    </xf>
    <xf numFmtId="2" fontId="4" fillId="0" borderId="42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165" fontId="5" fillId="5" borderId="14" xfId="0" applyNumberFormat="1" applyFont="1" applyFill="1" applyBorder="1" applyAlignment="1">
      <alignment vertical="center"/>
    </xf>
    <xf numFmtId="165" fontId="4" fillId="0" borderId="42" xfId="1" applyFont="1" applyFill="1" applyBorder="1" applyAlignment="1">
      <alignment horizontal="left" vertical="center"/>
    </xf>
    <xf numFmtId="2" fontId="4" fillId="2" borderId="42" xfId="0" applyNumberFormat="1" applyFont="1" applyFill="1" applyBorder="1" applyAlignment="1">
      <alignment horizontal="center" vertical="center"/>
    </xf>
    <xf numFmtId="165" fontId="4" fillId="2" borderId="42" xfId="0" applyNumberFormat="1" applyFont="1" applyFill="1" applyBorder="1" applyAlignment="1">
      <alignment horizontal="left" vertical="center"/>
    </xf>
    <xf numFmtId="165" fontId="4" fillId="0" borderId="42" xfId="0" applyNumberFormat="1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165" fontId="4" fillId="0" borderId="45" xfId="1" applyFont="1" applyFill="1" applyBorder="1" applyAlignment="1">
      <alignment horizontal="center" vertical="center"/>
    </xf>
    <xf numFmtId="165" fontId="8" fillId="0" borderId="45" xfId="1" applyFont="1" applyBorder="1" applyAlignment="1">
      <alignment horizontal="right" vertical="center" wrapText="1"/>
    </xf>
    <xf numFmtId="165" fontId="4" fillId="0" borderId="45" xfId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/>
    </xf>
    <xf numFmtId="165" fontId="4" fillId="0" borderId="45" xfId="0" applyNumberFormat="1" applyFont="1" applyBorder="1" applyAlignment="1">
      <alignment horizontal="center" vertical="center"/>
    </xf>
    <xf numFmtId="165" fontId="4" fillId="0" borderId="45" xfId="0" applyNumberFormat="1" applyFont="1" applyBorder="1" applyAlignment="1">
      <alignment vertical="center"/>
    </xf>
    <xf numFmtId="0" fontId="3" fillId="2" borderId="0" xfId="0" applyFont="1" applyFill="1" applyAlignment="1">
      <alignment vertical="center"/>
    </xf>
    <xf numFmtId="44" fontId="2" fillId="2" borderId="31" xfId="0" applyNumberFormat="1" applyFont="1" applyFill="1" applyBorder="1" applyAlignment="1">
      <alignment vertical="center"/>
    </xf>
    <xf numFmtId="165" fontId="4" fillId="0" borderId="46" xfId="1" applyFont="1" applyBorder="1" applyAlignment="1">
      <alignment horizontal="left" vertical="center"/>
    </xf>
    <xf numFmtId="2" fontId="12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4" fontId="8" fillId="2" borderId="31" xfId="0" applyNumberFormat="1" applyFont="1" applyFill="1" applyBorder="1" applyAlignment="1">
      <alignment horizontal="center" vertical="center"/>
    </xf>
    <xf numFmtId="166" fontId="8" fillId="2" borderId="31" xfId="6" applyFont="1" applyFill="1" applyBorder="1" applyAlignment="1">
      <alignment horizontal="center" vertical="center"/>
    </xf>
    <xf numFmtId="166" fontId="8" fillId="2" borderId="31" xfId="6" quotePrefix="1" applyFont="1" applyFill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165" fontId="8" fillId="0" borderId="49" xfId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2" fontId="12" fillId="3" borderId="1" xfId="2" applyNumberFormat="1" applyFont="1" applyFill="1" applyBorder="1" applyAlignment="1">
      <alignment horizontal="center" vertical="center"/>
    </xf>
    <xf numFmtId="165" fontId="4" fillId="0" borderId="0" xfId="1" applyFont="1" applyFill="1" applyBorder="1" applyAlignment="1">
      <alignment horizontal="left" vertical="center"/>
    </xf>
    <xf numFmtId="165" fontId="4" fillId="0" borderId="8" xfId="1" applyFont="1" applyFill="1" applyBorder="1" applyAlignment="1">
      <alignment horizontal="center" vertical="center" wrapText="1"/>
    </xf>
    <xf numFmtId="49" fontId="8" fillId="0" borderId="21" xfId="0" quotePrefix="1" applyNumberFormat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left" vertical="center" wrapText="1"/>
    </xf>
    <xf numFmtId="165" fontId="8" fillId="0" borderId="8" xfId="1" applyFont="1" applyBorder="1" applyAlignment="1">
      <alignment horizontal="right" vertical="center" wrapText="1"/>
    </xf>
    <xf numFmtId="165" fontId="4" fillId="0" borderId="1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8" fillId="0" borderId="22" xfId="1" applyFont="1" applyBorder="1" applyAlignment="1">
      <alignment horizontal="center" vertical="center" wrapText="1"/>
    </xf>
    <xf numFmtId="165" fontId="8" fillId="0" borderId="21" xfId="1" applyFont="1" applyBorder="1" applyAlignment="1">
      <alignment horizontal="center" vertical="center" wrapText="1"/>
    </xf>
    <xf numFmtId="165" fontId="8" fillId="0" borderId="18" xfId="1" applyFont="1" applyBorder="1" applyAlignment="1">
      <alignment horizontal="center" vertical="center" wrapText="1"/>
    </xf>
    <xf numFmtId="166" fontId="8" fillId="2" borderId="47" xfId="6" applyFont="1" applyFill="1" applyBorder="1" applyAlignment="1">
      <alignment horizontal="center" vertical="center"/>
    </xf>
    <xf numFmtId="4" fontId="8" fillId="2" borderId="47" xfId="0" applyNumberFormat="1" applyFont="1" applyFill="1" applyBorder="1" applyAlignment="1">
      <alignment horizontal="center" vertical="center"/>
    </xf>
    <xf numFmtId="166" fontId="8" fillId="2" borderId="53" xfId="6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166" fontId="8" fillId="2" borderId="52" xfId="6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66" fontId="8" fillId="2" borderId="30" xfId="6" applyFont="1" applyFill="1" applyBorder="1" applyAlignment="1">
      <alignment horizontal="center" vertical="center"/>
    </xf>
    <xf numFmtId="166" fontId="8" fillId="2" borderId="1" xfId="6" applyFont="1" applyFill="1" applyBorder="1" applyAlignment="1">
      <alignment horizontal="center" vertical="center"/>
    </xf>
    <xf numFmtId="165" fontId="8" fillId="0" borderId="0" xfId="1" applyFont="1" applyBorder="1" applyAlignment="1">
      <alignment horizontal="left" vertical="center"/>
    </xf>
    <xf numFmtId="165" fontId="4" fillId="0" borderId="8" xfId="1" applyFont="1" applyFill="1" applyBorder="1" applyAlignment="1">
      <alignment horizontal="center" vertical="center"/>
    </xf>
    <xf numFmtId="168" fontId="8" fillId="2" borderId="31" xfId="0" applyNumberFormat="1" applyFont="1" applyFill="1" applyBorder="1" applyAlignment="1">
      <alignment horizontal="center" vertical="center"/>
    </xf>
    <xf numFmtId="0" fontId="8" fillId="0" borderId="54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165" fontId="8" fillId="0" borderId="55" xfId="1" applyFont="1" applyBorder="1" applyAlignment="1">
      <alignment horizontal="center" vertical="center"/>
    </xf>
    <xf numFmtId="165" fontId="8" fillId="2" borderId="13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49" fontId="9" fillId="0" borderId="10" xfId="5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2" fontId="9" fillId="0" borderId="10" xfId="5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2" fontId="12" fillId="3" borderId="1" xfId="1" applyNumberFormat="1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2" fillId="3" borderId="3" xfId="0" applyFont="1" applyFill="1" applyBorder="1" applyAlignment="1">
      <alignment horizontal="left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 wrapText="1"/>
    </xf>
    <xf numFmtId="2" fontId="4" fillId="0" borderId="46" xfId="0" applyNumberFormat="1" applyFont="1" applyBorder="1" applyAlignment="1">
      <alignment horizontal="center" vertical="center"/>
    </xf>
    <xf numFmtId="165" fontId="4" fillId="0" borderId="46" xfId="1" applyFont="1" applyFill="1" applyBorder="1" applyAlignment="1">
      <alignment horizontal="left" vertical="center"/>
    </xf>
    <xf numFmtId="165" fontId="4" fillId="0" borderId="57" xfId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2" fontId="4" fillId="2" borderId="46" xfId="0" applyNumberFormat="1" applyFont="1" applyFill="1" applyBorder="1" applyAlignment="1">
      <alignment horizontal="center" vertical="center"/>
    </xf>
    <xf numFmtId="165" fontId="4" fillId="2" borderId="46" xfId="0" applyNumberFormat="1" applyFont="1" applyFill="1" applyBorder="1" applyAlignment="1">
      <alignment horizontal="left" vertical="center"/>
    </xf>
    <xf numFmtId="165" fontId="4" fillId="2" borderId="57" xfId="0" applyNumberFormat="1" applyFont="1" applyFill="1" applyBorder="1" applyAlignment="1">
      <alignment horizontal="center" vertical="center"/>
    </xf>
    <xf numFmtId="165" fontId="8" fillId="2" borderId="14" xfId="1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4" fontId="2" fillId="2" borderId="40" xfId="0" applyNumberFormat="1" applyFont="1" applyFill="1" applyBorder="1" applyAlignment="1">
      <alignment vertical="center"/>
    </xf>
    <xf numFmtId="44" fontId="2" fillId="2" borderId="60" xfId="0" applyNumberFormat="1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13" fillId="0" borderId="10" xfId="5" applyNumberFormat="1" applyFont="1" applyBorder="1" applyAlignment="1">
      <alignment horizontal="center" vertical="center" wrapText="1"/>
    </xf>
    <xf numFmtId="49" fontId="13" fillId="0" borderId="0" xfId="5" applyNumberFormat="1" applyFont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165" fontId="8" fillId="0" borderId="46" xfId="1" applyFont="1" applyBorder="1" applyAlignment="1">
      <alignment horizontal="left" vertical="center"/>
    </xf>
    <xf numFmtId="165" fontId="4" fillId="0" borderId="57" xfId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165" fontId="8" fillId="0" borderId="46" xfId="1" applyFont="1" applyBorder="1" applyAlignment="1">
      <alignment horizontal="left" vertical="center" wrapText="1"/>
    </xf>
    <xf numFmtId="165" fontId="8" fillId="0" borderId="57" xfId="1" applyFont="1" applyBorder="1" applyAlignment="1">
      <alignment horizontal="right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2" fontId="8" fillId="0" borderId="46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165" fontId="4" fillId="0" borderId="46" xfId="0" applyNumberFormat="1" applyFont="1" applyBorder="1" applyAlignment="1">
      <alignment horizontal="left" vertical="center"/>
    </xf>
    <xf numFmtId="165" fontId="4" fillId="0" borderId="57" xfId="0" applyNumberFormat="1" applyFont="1" applyBorder="1" applyAlignment="1">
      <alignment vertical="center"/>
    </xf>
    <xf numFmtId="165" fontId="4" fillId="0" borderId="57" xfId="0" applyNumberFormat="1" applyFont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2" fontId="12" fillId="4" borderId="13" xfId="2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 wrapText="1"/>
    </xf>
    <xf numFmtId="2" fontId="12" fillId="4" borderId="13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2" fontId="12" fillId="3" borderId="13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2" fontId="3" fillId="3" borderId="13" xfId="1" applyNumberFormat="1" applyFont="1" applyFill="1" applyBorder="1" applyAlignment="1">
      <alignment horizontal="center" vertical="center"/>
    </xf>
    <xf numFmtId="2" fontId="3" fillId="0" borderId="13" xfId="1" applyNumberFormat="1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2" fontId="12" fillId="3" borderId="13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1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8" fillId="0" borderId="63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165" fontId="8" fillId="0" borderId="64" xfId="1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6" applyFont="1" applyFill="1" applyBorder="1" applyAlignment="1">
      <alignment horizontal="center" vertical="center"/>
    </xf>
    <xf numFmtId="166" fontId="4" fillId="0" borderId="0" xfId="6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165" fontId="5" fillId="0" borderId="0" xfId="0" applyNumberFormat="1" applyFont="1"/>
    <xf numFmtId="0" fontId="8" fillId="0" borderId="46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5" fontId="4" fillId="0" borderId="0" xfId="1" applyFont="1" applyFill="1" applyBorder="1" applyAlignment="1">
      <alignment vertical="center"/>
    </xf>
    <xf numFmtId="165" fontId="4" fillId="0" borderId="8" xfId="1" applyFont="1" applyFill="1" applyBorder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9" fillId="0" borderId="0" xfId="5" applyNumberFormat="1" applyFont="1" applyAlignment="1">
      <alignment horizontal="center" vertical="center"/>
    </xf>
    <xf numFmtId="2" fontId="9" fillId="0" borderId="0" xfId="5" applyNumberFormat="1" applyFont="1" applyAlignment="1">
      <alignment horizontal="center" vertical="center"/>
    </xf>
    <xf numFmtId="49" fontId="9" fillId="0" borderId="0" xfId="5" applyNumberFormat="1" applyFont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2" fontId="12" fillId="6" borderId="68" xfId="0" applyNumberFormat="1" applyFont="1" applyFill="1" applyBorder="1" applyAlignment="1">
      <alignment horizontal="center" vertical="center"/>
    </xf>
    <xf numFmtId="165" fontId="12" fillId="6" borderId="10" xfId="1" applyFont="1" applyFill="1" applyBorder="1" applyAlignment="1">
      <alignment horizontal="center" vertical="center"/>
    </xf>
    <xf numFmtId="165" fontId="12" fillId="6" borderId="68" xfId="1" applyFont="1" applyFill="1" applyBorder="1" applyAlignment="1">
      <alignment horizontal="center" vertical="center"/>
    </xf>
    <xf numFmtId="165" fontId="12" fillId="6" borderId="11" xfId="1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 wrapText="1"/>
    </xf>
    <xf numFmtId="2" fontId="12" fillId="6" borderId="2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2" fontId="23" fillId="0" borderId="0" xfId="5" applyNumberFormat="1" applyFont="1" applyAlignment="1">
      <alignment horizontal="center" vertical="center"/>
    </xf>
    <xf numFmtId="49" fontId="23" fillId="0" borderId="0" xfId="5" applyNumberFormat="1" applyFont="1" applyAlignment="1">
      <alignment horizontal="center" vertical="center" wrapText="1"/>
    </xf>
    <xf numFmtId="0" fontId="24" fillId="2" borderId="0" xfId="0" applyFont="1" applyFill="1"/>
    <xf numFmtId="0" fontId="12" fillId="12" borderId="1" xfId="0" applyFont="1" applyFill="1" applyBorder="1" applyAlignment="1">
      <alignment horizontal="center" vertical="center" wrapText="1"/>
    </xf>
    <xf numFmtId="49" fontId="9" fillId="0" borderId="0" xfId="5" applyNumberFormat="1" applyFont="1" applyAlignment="1">
      <alignment vertical="center" wrapText="1"/>
    </xf>
    <xf numFmtId="49" fontId="7" fillId="0" borderId="0" xfId="5" applyNumberForma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4" fillId="0" borderId="0" xfId="1" applyFont="1" applyFill="1" applyAlignment="1">
      <alignment horizontal="center" vertical="center"/>
    </xf>
    <xf numFmtId="165" fontId="4" fillId="0" borderId="41" xfId="1" applyFont="1" applyFill="1" applyBorder="1" applyAlignment="1">
      <alignment horizontal="center" vertical="center"/>
    </xf>
    <xf numFmtId="0" fontId="21" fillId="0" borderId="0" xfId="0" applyFont="1"/>
    <xf numFmtId="0" fontId="3" fillId="2" borderId="4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vertical="center"/>
    </xf>
    <xf numFmtId="2" fontId="3" fillId="0" borderId="25" xfId="0" applyNumberFormat="1" applyFont="1" applyBorder="1" applyAlignment="1">
      <alignment horizontal="center" vertical="center"/>
    </xf>
    <xf numFmtId="2" fontId="12" fillId="4" borderId="23" xfId="2" applyNumberFormat="1" applyFont="1" applyFill="1" applyBorder="1" applyAlignment="1">
      <alignment horizontal="center" vertical="center"/>
    </xf>
    <xf numFmtId="2" fontId="12" fillId="4" borderId="23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2" fontId="12" fillId="4" borderId="26" xfId="2" applyNumberFormat="1" applyFont="1" applyFill="1" applyBorder="1" applyAlignment="1">
      <alignment horizontal="center" vertical="center"/>
    </xf>
    <xf numFmtId="2" fontId="12" fillId="4" borderId="72" xfId="2" applyNumberFormat="1" applyFont="1" applyFill="1" applyBorder="1" applyAlignment="1">
      <alignment horizontal="center" vertical="center"/>
    </xf>
    <xf numFmtId="2" fontId="16" fillId="0" borderId="31" xfId="0" applyNumberFormat="1" applyFont="1" applyBorder="1" applyAlignment="1">
      <alignment horizontal="center" vertical="center"/>
    </xf>
    <xf numFmtId="2" fontId="12" fillId="4" borderId="26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2" fontId="14" fillId="4" borderId="13" xfId="2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2" fontId="12" fillId="12" borderId="33" xfId="1" applyNumberFormat="1" applyFont="1" applyFill="1" applyBorder="1" applyAlignment="1">
      <alignment horizontal="center" vertical="center"/>
    </xf>
    <xf numFmtId="2" fontId="12" fillId="12" borderId="26" xfId="2" applyNumberFormat="1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2" fontId="4" fillId="2" borderId="43" xfId="0" applyNumberFormat="1" applyFont="1" applyFill="1" applyBorder="1" applyAlignment="1">
      <alignment horizontal="center" vertical="center"/>
    </xf>
    <xf numFmtId="165" fontId="4" fillId="2" borderId="43" xfId="0" applyNumberFormat="1" applyFont="1" applyFill="1" applyBorder="1" applyAlignment="1">
      <alignment horizontal="left" vertical="center"/>
    </xf>
    <xf numFmtId="165" fontId="4" fillId="2" borderId="8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center" vertical="center"/>
    </xf>
    <xf numFmtId="2" fontId="12" fillId="4" borderId="13" xfId="1" applyNumberFormat="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1" xfId="0" applyFont="1" applyBorder="1" applyAlignment="1">
      <alignment vertical="center"/>
    </xf>
    <xf numFmtId="0" fontId="4" fillId="0" borderId="73" xfId="0" applyFont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12" fillId="3" borderId="24" xfId="0" applyFont="1" applyFill="1" applyBorder="1" applyAlignment="1">
      <alignment horizontal="center" vertical="center"/>
    </xf>
    <xf numFmtId="165" fontId="8" fillId="0" borderId="81" xfId="1" applyFont="1" applyBorder="1" applyAlignment="1">
      <alignment horizontal="right" vertical="center" wrapText="1"/>
    </xf>
    <xf numFmtId="165" fontId="5" fillId="5" borderId="78" xfId="0" applyNumberFormat="1" applyFont="1" applyFill="1" applyBorder="1" applyAlignment="1">
      <alignment vertical="center"/>
    </xf>
    <xf numFmtId="0" fontId="4" fillId="0" borderId="7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4" fillId="0" borderId="6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2" fontId="12" fillId="4" borderId="33" xfId="0" applyNumberFormat="1" applyFont="1" applyFill="1" applyBorder="1" applyAlignment="1">
      <alignment horizontal="center" vertical="center"/>
    </xf>
    <xf numFmtId="2" fontId="3" fillId="2" borderId="47" xfId="1" applyNumberFormat="1" applyFont="1" applyFill="1" applyBorder="1" applyAlignment="1">
      <alignment horizontal="center" vertical="center"/>
    </xf>
    <xf numFmtId="2" fontId="12" fillId="4" borderId="82" xfId="0" applyNumberFormat="1" applyFont="1" applyFill="1" applyBorder="1" applyAlignment="1">
      <alignment horizontal="center" vertical="center"/>
    </xf>
    <xf numFmtId="2" fontId="3" fillId="2" borderId="82" xfId="1" applyNumberFormat="1" applyFont="1" applyFill="1" applyBorder="1" applyAlignment="1">
      <alignment horizontal="center" vertical="center"/>
    </xf>
    <xf numFmtId="2" fontId="12" fillId="4" borderId="83" xfId="0" applyNumberFormat="1" applyFont="1" applyFill="1" applyBorder="1" applyAlignment="1">
      <alignment horizontal="center" vertical="center"/>
    </xf>
    <xf numFmtId="49" fontId="13" fillId="0" borderId="69" xfId="5" applyNumberFormat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center"/>
    </xf>
    <xf numFmtId="49" fontId="13" fillId="0" borderId="0" xfId="5" applyNumberFormat="1" applyFont="1" applyAlignment="1">
      <alignment vertical="center" wrapText="1"/>
    </xf>
    <xf numFmtId="0" fontId="3" fillId="0" borderId="76" xfId="0" applyFont="1" applyBorder="1" applyAlignment="1">
      <alignment vertical="center"/>
    </xf>
    <xf numFmtId="0" fontId="4" fillId="0" borderId="7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5" fillId="2" borderId="33" xfId="0" applyFont="1" applyFill="1" applyBorder="1"/>
    <xf numFmtId="0" fontId="25" fillId="2" borderId="34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166" fontId="4" fillId="2" borderId="87" xfId="6" applyFont="1" applyFill="1" applyBorder="1" applyAlignment="1">
      <alignment horizontal="center" vertical="center"/>
    </xf>
    <xf numFmtId="165" fontId="5" fillId="2" borderId="87" xfId="0" applyNumberFormat="1" applyFont="1" applyFill="1" applyBorder="1"/>
    <xf numFmtId="165" fontId="5" fillId="2" borderId="1" xfId="0" applyNumberFormat="1" applyFont="1" applyFill="1" applyBorder="1"/>
    <xf numFmtId="4" fontId="8" fillId="2" borderId="0" xfId="0" applyNumberFormat="1" applyFont="1" applyFill="1" applyAlignment="1">
      <alignment horizontal="center" vertical="center"/>
    </xf>
    <xf numFmtId="166" fontId="4" fillId="2" borderId="1" xfId="6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center" vertical="center"/>
    </xf>
    <xf numFmtId="165" fontId="5" fillId="2" borderId="19" xfId="0" applyNumberFormat="1" applyFont="1" applyFill="1" applyBorder="1"/>
    <xf numFmtId="0" fontId="2" fillId="2" borderId="34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44" fontId="2" fillId="2" borderId="0" xfId="0" applyNumberFormat="1" applyFont="1" applyFill="1" applyAlignment="1">
      <alignment vertical="center"/>
    </xf>
    <xf numFmtId="165" fontId="5" fillId="2" borderId="50" xfId="0" applyNumberFormat="1" applyFont="1" applyFill="1" applyBorder="1"/>
    <xf numFmtId="49" fontId="9" fillId="14" borderId="0" xfId="5" applyNumberFormat="1" applyFont="1" applyFill="1" applyAlignment="1">
      <alignment vertical="center" wrapText="1"/>
    </xf>
    <xf numFmtId="2" fontId="3" fillId="2" borderId="71" xfId="0" applyNumberFormat="1" applyFont="1" applyFill="1" applyBorder="1" applyAlignment="1">
      <alignment horizontal="center" vertical="center"/>
    </xf>
    <xf numFmtId="49" fontId="13" fillId="0" borderId="70" xfId="5" applyNumberFormat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44" fontId="0" fillId="2" borderId="0" xfId="0" applyNumberFormat="1" applyFill="1"/>
    <xf numFmtId="44" fontId="8" fillId="0" borderId="31" xfId="0" applyNumberFormat="1" applyFont="1" applyBorder="1" applyAlignment="1">
      <alignment horizontal="center" vertical="center"/>
    </xf>
    <xf numFmtId="44" fontId="8" fillId="0" borderId="52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12" fillId="6" borderId="36" xfId="0" applyNumberFormat="1" applyFont="1" applyFill="1" applyBorder="1" applyAlignment="1">
      <alignment horizontal="center" vertical="center"/>
    </xf>
    <xf numFmtId="49" fontId="12" fillId="4" borderId="36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49" fontId="3" fillId="0" borderId="50" xfId="0" applyNumberFormat="1" applyFont="1" applyBorder="1" applyAlignment="1">
      <alignment vertical="center"/>
    </xf>
    <xf numFmtId="49" fontId="12" fillId="4" borderId="1" xfId="0" applyNumberFormat="1" applyFont="1" applyFill="1" applyBorder="1" applyAlignment="1">
      <alignment horizontal="center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15" xfId="0" applyNumberFormat="1" applyFont="1" applyFill="1" applyBorder="1" applyAlignment="1">
      <alignment horizontal="center" vertical="center"/>
    </xf>
    <xf numFmtId="49" fontId="12" fillId="6" borderId="12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27" xfId="0" applyNumberFormat="1" applyFont="1" applyBorder="1" applyAlignment="1">
      <alignment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1" fillId="4" borderId="12" xfId="0" applyNumberFormat="1" applyFont="1" applyFill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1" fillId="4" borderId="77" xfId="0" applyNumberFormat="1" applyFont="1" applyFill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10" fontId="3" fillId="0" borderId="0" xfId="13" applyNumberFormat="1" applyFont="1" applyAlignment="1">
      <alignment horizontal="center" vertical="center"/>
    </xf>
    <xf numFmtId="2" fontId="12" fillId="13" borderId="1" xfId="0" applyNumberFormat="1" applyFont="1" applyFill="1" applyBorder="1" applyAlignment="1">
      <alignment horizontal="center" vertical="center" wrapText="1"/>
    </xf>
    <xf numFmtId="2" fontId="12" fillId="13" borderId="1" xfId="2" applyNumberFormat="1" applyFont="1" applyFill="1" applyBorder="1" applyAlignment="1">
      <alignment horizontal="center" vertical="center"/>
    </xf>
    <xf numFmtId="49" fontId="4" fillId="2" borderId="74" xfId="0" applyNumberFormat="1" applyFont="1" applyFill="1" applyBorder="1" applyAlignment="1">
      <alignment horizontal="center" vertical="center"/>
    </xf>
    <xf numFmtId="2" fontId="4" fillId="2" borderId="74" xfId="0" applyNumberFormat="1" applyFont="1" applyFill="1" applyBorder="1" applyAlignment="1">
      <alignment vertical="center"/>
    </xf>
    <xf numFmtId="2" fontId="5" fillId="0" borderId="74" xfId="0" applyNumberFormat="1" applyFont="1" applyBorder="1" applyAlignment="1">
      <alignment horizontal="center" vertical="center"/>
    </xf>
    <xf numFmtId="2" fontId="4" fillId="2" borderId="74" xfId="0" applyNumberFormat="1" applyFont="1" applyFill="1" applyBorder="1" applyAlignment="1">
      <alignment horizontal="center" vertical="center"/>
    </xf>
    <xf numFmtId="165" fontId="4" fillId="2" borderId="74" xfId="1" applyFont="1" applyFill="1" applyBorder="1" applyAlignment="1">
      <alignment horizontal="left" vertical="center"/>
    </xf>
    <xf numFmtId="165" fontId="4" fillId="2" borderId="75" xfId="1" applyFont="1" applyFill="1" applyBorder="1" applyAlignment="1">
      <alignment horizontal="left" vertical="center"/>
    </xf>
    <xf numFmtId="2" fontId="15" fillId="0" borderId="0" xfId="0" applyNumberFormat="1" applyFont="1" applyAlignment="1">
      <alignment horizontal="left" vertical="center"/>
    </xf>
    <xf numFmtId="2" fontId="15" fillId="0" borderId="71" xfId="0" applyNumberFormat="1" applyFont="1" applyBorder="1" applyAlignment="1">
      <alignment horizontal="left" vertical="center"/>
    </xf>
    <xf numFmtId="165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horizontal="center" vertical="center"/>
    </xf>
    <xf numFmtId="2" fontId="15" fillId="2" borderId="0" xfId="0" applyNumberFormat="1" applyFont="1" applyFill="1" applyAlignment="1">
      <alignment vertical="center"/>
    </xf>
    <xf numFmtId="2" fontId="15" fillId="2" borderId="0" xfId="0" applyNumberFormat="1" applyFont="1" applyFill="1" applyAlignment="1">
      <alignment horizontal="center" vertical="center"/>
    </xf>
    <xf numFmtId="2" fontId="15" fillId="2" borderId="71" xfId="0" applyNumberFormat="1" applyFont="1" applyFill="1" applyBorder="1" applyAlignment="1">
      <alignment horizontal="center" vertical="center"/>
    </xf>
    <xf numFmtId="0" fontId="14" fillId="0" borderId="74" xfId="0" applyFont="1" applyBorder="1" applyAlignment="1">
      <alignment vertical="center"/>
    </xf>
    <xf numFmtId="44" fontId="4" fillId="0" borderId="42" xfId="0" applyNumberFormat="1" applyFont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vertical="center"/>
    </xf>
    <xf numFmtId="2" fontId="4" fillId="0" borderId="15" xfId="0" applyNumberFormat="1" applyFont="1" applyBorder="1" applyAlignment="1">
      <alignment horizontal="center" vertical="center"/>
    </xf>
    <xf numFmtId="165" fontId="4" fillId="0" borderId="15" xfId="1" applyFont="1" applyBorder="1" applyAlignment="1">
      <alignment horizontal="left" vertical="center"/>
    </xf>
    <xf numFmtId="165" fontId="12" fillId="0" borderId="15" xfId="1" applyFont="1" applyBorder="1" applyAlignment="1">
      <alignment horizontal="right" vertical="center"/>
    </xf>
    <xf numFmtId="2" fontId="4" fillId="2" borderId="0" xfId="0" applyNumberFormat="1" applyFont="1" applyFill="1" applyAlignment="1">
      <alignment vertical="center"/>
    </xf>
    <xf numFmtId="165" fontId="12" fillId="0" borderId="0" xfId="1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1" applyFont="1" applyAlignment="1">
      <alignment horizontal="left" vertical="center"/>
    </xf>
    <xf numFmtId="165" fontId="12" fillId="0" borderId="0" xfId="1" applyFont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165" fontId="5" fillId="0" borderId="10" xfId="1" applyFont="1" applyBorder="1" applyAlignment="1">
      <alignment horizontal="left" vertical="center"/>
    </xf>
    <xf numFmtId="0" fontId="4" fillId="0" borderId="6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65" fontId="4" fillId="2" borderId="5" xfId="1" applyFont="1" applyFill="1" applyBorder="1" applyAlignment="1">
      <alignment horizontal="left" vertical="center"/>
    </xf>
    <xf numFmtId="165" fontId="4" fillId="2" borderId="0" xfId="1" applyFont="1" applyFill="1" applyBorder="1" applyAlignment="1">
      <alignment horizontal="left" vertical="center"/>
    </xf>
    <xf numFmtId="165" fontId="4" fillId="2" borderId="8" xfId="0" applyNumberFormat="1" applyFont="1" applyFill="1" applyBorder="1" applyAlignment="1">
      <alignment vertical="center"/>
    </xf>
    <xf numFmtId="2" fontId="15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2" fontId="12" fillId="2" borderId="24" xfId="0" applyNumberFormat="1" applyFont="1" applyFill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2" fontId="3" fillId="2" borderId="13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12" fillId="6" borderId="13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8" fillId="0" borderId="0" xfId="0" applyFont="1"/>
    <xf numFmtId="2" fontId="3" fillId="0" borderId="24" xfId="1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9" fontId="12" fillId="4" borderId="37" xfId="0" applyNumberFormat="1" applyFont="1" applyFill="1" applyBorder="1" applyAlignment="1">
      <alignment horizontal="center" vertical="center"/>
    </xf>
    <xf numFmtId="2" fontId="3" fillId="0" borderId="52" xfId="1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4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4" fillId="6" borderId="1" xfId="0" applyFont="1" applyFill="1" applyBorder="1"/>
    <xf numFmtId="0" fontId="12" fillId="6" borderId="1" xfId="0" applyFont="1" applyFill="1" applyBorder="1" applyAlignment="1">
      <alignment horizontal="center" vertical="center" wrapText="1"/>
    </xf>
    <xf numFmtId="2" fontId="12" fillId="6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49" fontId="12" fillId="0" borderId="50" xfId="0" applyNumberFormat="1" applyFont="1" applyBorder="1" applyAlignment="1">
      <alignment horizontal="center" vertical="center"/>
    </xf>
    <xf numFmtId="2" fontId="16" fillId="0" borderId="52" xfId="0" applyNumberFormat="1" applyFont="1" applyBorder="1" applyAlignment="1">
      <alignment horizontal="center" vertical="center"/>
    </xf>
    <xf numFmtId="2" fontId="12" fillId="4" borderId="14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65" fontId="8" fillId="2" borderId="8" xfId="1" applyFont="1" applyFill="1" applyBorder="1" applyAlignment="1">
      <alignment horizontal="center" vertical="center"/>
    </xf>
    <xf numFmtId="0" fontId="8" fillId="0" borderId="9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69" fontId="12" fillId="0" borderId="17" xfId="1" applyNumberFormat="1" applyFont="1" applyBorder="1" applyAlignment="1">
      <alignment horizontal="center" vertical="center"/>
    </xf>
    <xf numFmtId="169" fontId="12" fillId="0" borderId="8" xfId="1" applyNumberFormat="1" applyFont="1" applyBorder="1" applyAlignment="1">
      <alignment horizontal="center" vertical="center"/>
    </xf>
    <xf numFmtId="0" fontId="32" fillId="4" borderId="1" xfId="0" applyFont="1" applyFill="1" applyBorder="1" applyAlignment="1">
      <alignment wrapText="1"/>
    </xf>
    <xf numFmtId="0" fontId="32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vertical="center" wrapText="1"/>
    </xf>
    <xf numFmtId="0" fontId="32" fillId="4" borderId="23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vertical="center"/>
    </xf>
    <xf numFmtId="0" fontId="32" fillId="4" borderId="0" xfId="0" applyFont="1" applyFill="1"/>
    <xf numFmtId="4" fontId="9" fillId="2" borderId="31" xfId="0" applyNumberFormat="1" applyFont="1" applyFill="1" applyBorder="1" applyAlignment="1">
      <alignment horizontal="center" vertical="center"/>
    </xf>
    <xf numFmtId="166" fontId="9" fillId="2" borderId="31" xfId="6" applyFont="1" applyFill="1" applyBorder="1" applyAlignment="1">
      <alignment horizontal="center" vertical="center"/>
    </xf>
    <xf numFmtId="166" fontId="9" fillId="2" borderId="87" xfId="6" applyFont="1" applyFill="1" applyBorder="1" applyAlignment="1">
      <alignment horizontal="center" vertical="center"/>
    </xf>
    <xf numFmtId="166" fontId="9" fillId="2" borderId="31" xfId="6" quotePrefix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44" fontId="2" fillId="10" borderId="31" xfId="0" applyNumberFormat="1" applyFont="1" applyFill="1" applyBorder="1" applyAlignment="1">
      <alignment vertical="center"/>
    </xf>
    <xf numFmtId="8" fontId="2" fillId="10" borderId="31" xfId="0" applyNumberFormat="1" applyFont="1" applyFill="1" applyBorder="1" applyAlignment="1">
      <alignment vertical="center"/>
    </xf>
    <xf numFmtId="2" fontId="4" fillId="14" borderId="0" xfId="0" applyNumberFormat="1" applyFont="1" applyFill="1" applyAlignment="1">
      <alignment vertical="center" wrapText="1"/>
    </xf>
    <xf numFmtId="2" fontId="4" fillId="14" borderId="34" xfId="0" applyNumberFormat="1" applyFont="1" applyFill="1" applyBorder="1" applyAlignment="1">
      <alignment vertical="center" wrapText="1"/>
    </xf>
    <xf numFmtId="0" fontId="4" fillId="2" borderId="0" xfId="0" applyFont="1" applyFill="1"/>
    <xf numFmtId="0" fontId="4" fillId="14" borderId="34" xfId="0" applyFont="1" applyFill="1" applyBorder="1"/>
    <xf numFmtId="0" fontId="4" fillId="14" borderId="0" xfId="0" applyFont="1" applyFill="1"/>
    <xf numFmtId="2" fontId="3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9" fillId="2" borderId="42" xfId="0" applyFont="1" applyFill="1" applyBorder="1" applyAlignment="1">
      <alignment horizontal="left" vertical="center" wrapText="1"/>
    </xf>
    <xf numFmtId="44" fontId="10" fillId="10" borderId="87" xfId="0" applyNumberFormat="1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vertical="center"/>
    </xf>
    <xf numFmtId="49" fontId="17" fillId="0" borderId="50" xfId="0" applyNumberFormat="1" applyFont="1" applyBorder="1" applyAlignment="1">
      <alignment vertical="center"/>
    </xf>
    <xf numFmtId="49" fontId="36" fillId="0" borderId="22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2" fontId="3" fillId="0" borderId="26" xfId="1" applyNumberFormat="1" applyFont="1" applyBorder="1" applyAlignment="1">
      <alignment horizontal="center" vertical="center"/>
    </xf>
    <xf numFmtId="0" fontId="13" fillId="0" borderId="26" xfId="0" applyFont="1" applyBorder="1"/>
    <xf numFmtId="0" fontId="13" fillId="0" borderId="1" xfId="0" applyFont="1" applyBorder="1" applyAlignment="1">
      <alignment horizontal="center" vertical="center" wrapText="1"/>
    </xf>
    <xf numFmtId="2" fontId="13" fillId="0" borderId="52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2" fontId="12" fillId="0" borderId="13" xfId="0" applyNumberFormat="1" applyFont="1" applyBorder="1" applyAlignment="1">
      <alignment horizontal="center" vertical="center"/>
    </xf>
    <xf numFmtId="2" fontId="12" fillId="0" borderId="13" xfId="1" applyNumberFormat="1" applyFont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165" fontId="9" fillId="0" borderId="46" xfId="1" applyFont="1" applyBorder="1" applyAlignment="1">
      <alignment horizontal="left" vertical="center" wrapText="1"/>
    </xf>
    <xf numFmtId="165" fontId="9" fillId="0" borderId="45" xfId="1" applyFont="1" applyBorder="1" applyAlignment="1">
      <alignment horizontal="right" vertical="center" wrapText="1"/>
    </xf>
    <xf numFmtId="10" fontId="12" fillId="0" borderId="0" xfId="13" applyNumberFormat="1" applyFont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0" fontId="36" fillId="0" borderId="0" xfId="13" applyNumberFormat="1" applyFont="1" applyAlignment="1">
      <alignment horizontal="center" vertical="center"/>
    </xf>
    <xf numFmtId="0" fontId="39" fillId="4" borderId="1" xfId="0" applyFont="1" applyFill="1" applyBorder="1"/>
    <xf numFmtId="0" fontId="3" fillId="2" borderId="23" xfId="0" applyFont="1" applyFill="1" applyBorder="1" applyAlignment="1">
      <alignment horizontal="left" vertical="center" wrapText="1"/>
    </xf>
    <xf numFmtId="2" fontId="3" fillId="0" borderId="23" xfId="1" applyNumberFormat="1" applyFont="1" applyBorder="1" applyAlignment="1">
      <alignment horizontal="center" vertical="center"/>
    </xf>
    <xf numFmtId="2" fontId="3" fillId="2" borderId="24" xfId="1" applyNumberFormat="1" applyFont="1" applyFill="1" applyBorder="1" applyAlignment="1">
      <alignment horizontal="center" vertical="center"/>
    </xf>
    <xf numFmtId="0" fontId="34" fillId="4" borderId="1" xfId="0" applyFont="1" applyFill="1" applyBorder="1"/>
    <xf numFmtId="0" fontId="39" fillId="4" borderId="1" xfId="0" applyFont="1" applyFill="1" applyBorder="1" applyAlignment="1">
      <alignment horizontal="left" vertical="center" wrapText="1"/>
    </xf>
    <xf numFmtId="49" fontId="12" fillId="0" borderId="16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50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12" fillId="6" borderId="29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/>
    </xf>
    <xf numFmtId="0" fontId="12" fillId="6" borderId="25" xfId="0" applyFont="1" applyFill="1" applyBorder="1" applyAlignment="1">
      <alignment horizontal="left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2" fontId="12" fillId="4" borderId="1" xfId="0" applyNumberFormat="1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2" fontId="3" fillId="0" borderId="1" xfId="1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12" fillId="6" borderId="1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center" vertical="center"/>
    </xf>
    <xf numFmtId="2" fontId="3" fillId="2" borderId="2" xfId="2" applyNumberFormat="1" applyFont="1" applyFill="1" applyBorder="1" applyAlignment="1">
      <alignment horizontal="center" vertical="center"/>
    </xf>
    <xf numFmtId="2" fontId="3" fillId="2" borderId="3" xfId="2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/>
    </xf>
    <xf numFmtId="2" fontId="12" fillId="4" borderId="2" xfId="2" applyNumberFormat="1" applyFont="1" applyFill="1" applyBorder="1" applyAlignment="1">
      <alignment horizontal="center" vertical="center"/>
    </xf>
    <xf numFmtId="2" fontId="12" fillId="4" borderId="3" xfId="2" applyNumberFormat="1" applyFont="1" applyFill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center"/>
    </xf>
    <xf numFmtId="2" fontId="3" fillId="0" borderId="20" xfId="1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 vertical="center"/>
    </xf>
    <xf numFmtId="2" fontId="13" fillId="0" borderId="3" xfId="1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2" fillId="0" borderId="61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left"/>
    </xf>
    <xf numFmtId="0" fontId="12" fillId="6" borderId="20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left"/>
    </xf>
    <xf numFmtId="0" fontId="14" fillId="14" borderId="73" xfId="0" applyFont="1" applyFill="1" applyBorder="1" applyAlignment="1">
      <alignment horizontal="center" vertical="center"/>
    </xf>
    <xf numFmtId="0" fontId="14" fillId="14" borderId="74" xfId="0" applyFont="1" applyFill="1" applyBorder="1" applyAlignment="1">
      <alignment horizontal="center" vertical="center"/>
    </xf>
    <xf numFmtId="0" fontId="14" fillId="14" borderId="75" xfId="0" applyFont="1" applyFill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12" fillId="6" borderId="33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27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2" fontId="12" fillId="6" borderId="35" xfId="1" applyNumberFormat="1" applyFont="1" applyFill="1" applyBorder="1" applyAlignment="1">
      <alignment horizontal="center" vertical="center"/>
    </xf>
    <xf numFmtId="2" fontId="12" fillId="6" borderId="21" xfId="1" applyNumberFormat="1" applyFont="1" applyFill="1" applyBorder="1" applyAlignment="1">
      <alignment horizontal="center" vertical="center"/>
    </xf>
    <xf numFmtId="2" fontId="12" fillId="6" borderId="18" xfId="1" applyNumberFormat="1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left" vertical="center"/>
    </xf>
    <xf numFmtId="2" fontId="12" fillId="12" borderId="2" xfId="1" applyNumberFormat="1" applyFont="1" applyFill="1" applyBorder="1" applyAlignment="1">
      <alignment horizontal="center" vertical="center"/>
    </xf>
    <xf numFmtId="2" fontId="12" fillId="12" borderId="3" xfId="1" applyNumberFormat="1" applyFont="1" applyFill="1" applyBorder="1" applyAlignment="1">
      <alignment horizontal="center" vertical="center"/>
    </xf>
    <xf numFmtId="49" fontId="12" fillId="6" borderId="12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/>
    </xf>
    <xf numFmtId="49" fontId="12" fillId="2" borderId="12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left" vertical="center"/>
    </xf>
    <xf numFmtId="2" fontId="12" fillId="4" borderId="35" xfId="0" applyNumberFormat="1" applyFont="1" applyFill="1" applyBorder="1" applyAlignment="1">
      <alignment horizontal="center" vertical="center"/>
    </xf>
    <xf numFmtId="2" fontId="12" fillId="4" borderId="21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14" borderId="16" xfId="0" applyNumberFormat="1" applyFont="1" applyFill="1" applyBorder="1" applyAlignment="1">
      <alignment horizontal="center" vertical="center"/>
    </xf>
    <xf numFmtId="49" fontId="12" fillId="14" borderId="27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71" xfId="0" applyNumberFormat="1" applyFont="1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2" fontId="15" fillId="2" borderId="8" xfId="0" applyNumberFormat="1" applyFont="1" applyFill="1" applyBorder="1" applyAlignment="1">
      <alignment horizontal="center" vertical="center"/>
    </xf>
    <xf numFmtId="2" fontId="15" fillId="2" borderId="71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2" fontId="15" fillId="0" borderId="71" xfId="0" applyNumberFormat="1" applyFont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9" fillId="0" borderId="9" xfId="5" applyNumberFormat="1" applyFont="1" applyBorder="1" applyAlignment="1">
      <alignment horizontal="center" vertical="center" wrapText="1"/>
    </xf>
    <xf numFmtId="49" fontId="9" fillId="0" borderId="10" xfId="5" applyNumberFormat="1" applyFont="1" applyBorder="1" applyAlignment="1">
      <alignment horizontal="center" vertical="center" wrapText="1"/>
    </xf>
    <xf numFmtId="49" fontId="9" fillId="0" borderId="11" xfId="5" applyNumberFormat="1" applyFont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 wrapText="1"/>
    </xf>
    <xf numFmtId="0" fontId="30" fillId="2" borderId="2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49" fontId="9" fillId="2" borderId="7" xfId="5" applyNumberFormat="1" applyFont="1" applyFill="1" applyBorder="1" applyAlignment="1">
      <alignment horizontal="center" vertical="center" wrapText="1"/>
    </xf>
    <xf numFmtId="49" fontId="9" fillId="2" borderId="0" xfId="5" applyNumberFormat="1" applyFont="1" applyFill="1" applyAlignment="1">
      <alignment horizontal="center" vertical="center" wrapText="1"/>
    </xf>
    <xf numFmtId="49" fontId="9" fillId="2" borderId="8" xfId="5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right" vertical="center"/>
    </xf>
    <xf numFmtId="0" fontId="9" fillId="2" borderId="67" xfId="0" applyFont="1" applyFill="1" applyBorder="1" applyAlignment="1">
      <alignment horizontal="right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9" fillId="2" borderId="89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94" xfId="0" applyFont="1" applyBorder="1" applyAlignment="1">
      <alignment horizontal="right" vertical="center" wrapText="1"/>
    </xf>
    <xf numFmtId="0" fontId="2" fillId="0" borderId="95" xfId="0" applyFont="1" applyBorder="1" applyAlignment="1">
      <alignment horizontal="right" vertical="center" wrapText="1"/>
    </xf>
    <xf numFmtId="0" fontId="2" fillId="0" borderId="96" xfId="0" applyFont="1" applyBorder="1" applyAlignment="1">
      <alignment horizontal="right" vertical="center" wrapText="1"/>
    </xf>
    <xf numFmtId="0" fontId="10" fillId="10" borderId="33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14" borderId="50" xfId="0" applyFont="1" applyFill="1" applyBorder="1" applyAlignment="1">
      <alignment horizontal="center"/>
    </xf>
    <xf numFmtId="0" fontId="9" fillId="14" borderId="35" xfId="0" applyFont="1" applyFill="1" applyBorder="1" applyAlignment="1">
      <alignment horizontal="center" vertical="center"/>
    </xf>
    <xf numFmtId="0" fontId="9" fillId="14" borderId="21" xfId="0" applyFont="1" applyFill="1" applyBorder="1" applyAlignment="1">
      <alignment horizontal="center" vertical="center"/>
    </xf>
    <xf numFmtId="0" fontId="9" fillId="14" borderId="28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4" fillId="14" borderId="34" xfId="0" applyFont="1" applyFill="1" applyBorder="1" applyAlignment="1">
      <alignment horizontal="center"/>
    </xf>
    <xf numFmtId="0" fontId="4" fillId="14" borderId="0" xfId="0" applyFont="1" applyFill="1" applyAlignment="1">
      <alignment horizontal="center"/>
    </xf>
    <xf numFmtId="0" fontId="10" fillId="9" borderId="2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2" fontId="4" fillId="14" borderId="0" xfId="0" applyNumberFormat="1" applyFont="1" applyFill="1" applyAlignment="1">
      <alignment horizontal="center" vertical="center" wrapText="1"/>
    </xf>
    <xf numFmtId="49" fontId="9" fillId="14" borderId="0" xfId="5" applyNumberFormat="1" applyFont="1" applyFill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6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/>
    </xf>
    <xf numFmtId="0" fontId="26" fillId="2" borderId="27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16">
    <cellStyle name="Moeda" xfId="1" builtinId="4"/>
    <cellStyle name="Moeda 2" xfId="3" xr:uid="{00000000-0005-0000-0000-000001000000}"/>
    <cellStyle name="Moeda 2 2" xfId="10" xr:uid="{00000000-0005-0000-0000-000002000000}"/>
    <cellStyle name="Moeda 3" xfId="6" xr:uid="{00000000-0005-0000-0000-000003000000}"/>
    <cellStyle name="Moeda 4" xfId="8" xr:uid="{00000000-0005-0000-0000-000004000000}"/>
    <cellStyle name="Normal" xfId="0" builtinId="0"/>
    <cellStyle name="Normal 2" xfId="5" xr:uid="{00000000-0005-0000-0000-000006000000}"/>
    <cellStyle name="Normal 2 21" xfId="14" xr:uid="{00000000-0005-0000-0000-000007000000}"/>
    <cellStyle name="Porcentagem" xfId="13" builtinId="5"/>
    <cellStyle name="Vírgula" xfId="2" builtinId="3"/>
    <cellStyle name="Vírgula 2" xfId="4" xr:uid="{00000000-0005-0000-0000-00000A000000}"/>
    <cellStyle name="Vírgula 2 2" xfId="11" xr:uid="{00000000-0005-0000-0000-00000B000000}"/>
    <cellStyle name="Vírgula 3" xfId="7" xr:uid="{00000000-0005-0000-0000-00000C000000}"/>
    <cellStyle name="Vírgula 3 2" xfId="12" xr:uid="{00000000-0005-0000-0000-00000D000000}"/>
    <cellStyle name="Vírgula 4" xfId="9" xr:uid="{00000000-0005-0000-0000-00000E000000}"/>
    <cellStyle name="Vírgula 5" xfId="15" xr:uid="{00000000-0005-0000-0000-00000F000000}"/>
  </cellStyles>
  <dxfs count="40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114300</xdr:rowOff>
    </xdr:from>
    <xdr:ext cx="3686175" cy="1001486"/>
    <xdr:pic>
      <xdr:nvPicPr>
        <xdr:cNvPr id="5" name="Imagem 3">
          <a:extLst>
            <a:ext uri="{FF2B5EF4-FFF2-40B4-BE49-F238E27FC236}">
              <a16:creationId xmlns:a16="http://schemas.microsoft.com/office/drawing/2014/main" id="{041EEDF2-5CE6-46AD-A8D0-8D260E6A1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621" y="114300"/>
          <a:ext cx="3686175" cy="10014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301384</xdr:colOff>
      <xdr:row>0</xdr:row>
      <xdr:rowOff>73068</xdr:rowOff>
    </xdr:from>
    <xdr:ext cx="3844076" cy="1042718"/>
    <xdr:pic>
      <xdr:nvPicPr>
        <xdr:cNvPr id="5" name="Imagem 2">
          <a:extLst>
            <a:ext uri="{FF2B5EF4-FFF2-40B4-BE49-F238E27FC236}">
              <a16:creationId xmlns:a16="http://schemas.microsoft.com/office/drawing/2014/main" id="{58E814EE-6EEA-461B-BCFA-607609FE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41" y="73068"/>
          <a:ext cx="3844076" cy="10427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88532</xdr:colOff>
      <xdr:row>3</xdr:row>
      <xdr:rowOff>98039</xdr:rowOff>
    </xdr:from>
    <xdr:ext cx="1745085" cy="546523"/>
    <xdr:pic>
      <xdr:nvPicPr>
        <xdr:cNvPr id="15" name="Imagem 1">
          <a:extLst>
            <a:ext uri="{FF2B5EF4-FFF2-40B4-BE49-F238E27FC236}">
              <a16:creationId xmlns:a16="http://schemas.microsoft.com/office/drawing/2014/main" id="{7DF748D6-6C88-4346-8B9E-D6AD124C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72" y="684779"/>
          <a:ext cx="1745085" cy="54652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95250</xdr:rowOff>
    </xdr:from>
    <xdr:ext cx="2371725" cy="619125"/>
    <xdr:pic>
      <xdr:nvPicPr>
        <xdr:cNvPr id="13" name="Imagem 2">
          <a:extLst>
            <a:ext uri="{FF2B5EF4-FFF2-40B4-BE49-F238E27FC236}">
              <a16:creationId xmlns:a16="http://schemas.microsoft.com/office/drawing/2014/main" id="{5A0DBE03-D916-4BEF-B503-BBF436D06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5250"/>
          <a:ext cx="237172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3"/>
  <sheetViews>
    <sheetView showGridLines="0" view="pageBreakPreview" zoomScale="60" zoomScaleNormal="70" zoomScalePageLayoutView="10" workbookViewId="0">
      <selection activeCell="F13" sqref="F13"/>
    </sheetView>
  </sheetViews>
  <sheetFormatPr defaultColWidth="9.140625" defaultRowHeight="14.25"/>
  <cols>
    <col min="1" max="1" width="9.140625" style="10" customWidth="1"/>
    <col min="2" max="2" width="6.42578125" style="5" bestFit="1" customWidth="1"/>
    <col min="3" max="3" width="22.42578125" style="5" bestFit="1" customWidth="1"/>
    <col min="4" max="4" width="171" style="7" customWidth="1"/>
    <col min="5" max="5" width="7.140625" style="4" bestFit="1" customWidth="1"/>
    <col min="6" max="6" width="23.42578125" style="9" bestFit="1" customWidth="1"/>
    <col min="7" max="7" width="22.7109375" style="9" bestFit="1" customWidth="1"/>
    <col min="8" max="8" width="16.42578125" style="105" bestFit="1" customWidth="1"/>
    <col min="9" max="9" width="25.140625" style="10" bestFit="1" customWidth="1"/>
    <col min="10" max="10" width="2.28515625" style="10" bestFit="1" customWidth="1"/>
    <col min="11" max="16384" width="9.140625" style="10"/>
  </cols>
  <sheetData>
    <row r="1" spans="1:10" ht="15.75">
      <c r="A1" s="298"/>
      <c r="B1" s="603" t="s">
        <v>0</v>
      </c>
      <c r="C1" s="604"/>
      <c r="D1" s="604"/>
      <c r="E1" s="604"/>
      <c r="F1" s="604"/>
      <c r="G1" s="604"/>
      <c r="H1" s="605"/>
    </row>
    <row r="2" spans="1:10" ht="15.75">
      <c r="B2" s="606" t="s">
        <v>1</v>
      </c>
      <c r="C2" s="607"/>
      <c r="D2" s="607"/>
      <c r="E2" s="607"/>
      <c r="F2" s="607"/>
      <c r="G2" s="607"/>
      <c r="H2" s="608"/>
    </row>
    <row r="3" spans="1:10" ht="15.75">
      <c r="B3" s="294"/>
      <c r="C3" s="295"/>
      <c r="D3" s="607" t="s">
        <v>2</v>
      </c>
      <c r="E3" s="607"/>
      <c r="F3" s="607"/>
      <c r="G3" s="607"/>
      <c r="H3" s="296"/>
    </row>
    <row r="4" spans="1:10" ht="15.75">
      <c r="B4" s="606" t="s">
        <v>3</v>
      </c>
      <c r="C4" s="607"/>
      <c r="D4" s="607"/>
      <c r="E4" s="607"/>
      <c r="F4" s="607"/>
      <c r="G4" s="607"/>
      <c r="H4" s="608"/>
      <c r="I4" s="144" t="s">
        <v>4</v>
      </c>
      <c r="J4" s="124"/>
    </row>
    <row r="5" spans="1:10" ht="15.75">
      <c r="B5" s="606" t="s">
        <v>5</v>
      </c>
      <c r="C5" s="607"/>
      <c r="D5" s="607"/>
      <c r="E5" s="607"/>
      <c r="F5" s="607"/>
      <c r="G5" s="607"/>
      <c r="H5" s="608"/>
      <c r="I5" s="638"/>
      <c r="J5" s="638"/>
    </row>
    <row r="6" spans="1:10" ht="18">
      <c r="B6" s="614" t="s">
        <v>6</v>
      </c>
      <c r="C6" s="615"/>
      <c r="D6" s="615"/>
      <c r="E6" s="615"/>
      <c r="F6" s="615"/>
      <c r="G6" s="615"/>
      <c r="H6" s="616"/>
    </row>
    <row r="7" spans="1:10" s="54" customFormat="1" ht="15.75">
      <c r="B7" s="251" t="s">
        <v>7</v>
      </c>
      <c r="C7" s="252" t="s">
        <v>8</v>
      </c>
      <c r="D7" s="253"/>
      <c r="E7" s="254" t="s">
        <v>9</v>
      </c>
      <c r="F7" s="617" t="s">
        <v>6</v>
      </c>
      <c r="G7" s="618"/>
      <c r="H7" s="619"/>
    </row>
    <row r="8" spans="1:10" s="54" customFormat="1" ht="15.75">
      <c r="B8" s="553" t="s">
        <v>674</v>
      </c>
      <c r="C8" s="554"/>
      <c r="D8" s="609"/>
      <c r="E8" s="609"/>
      <c r="F8" s="609"/>
      <c r="G8" s="609"/>
      <c r="H8" s="610"/>
    </row>
    <row r="9" spans="1:10" s="54" customFormat="1" ht="15.75">
      <c r="B9" s="343">
        <v>1</v>
      </c>
      <c r="C9" s="290" t="s">
        <v>11</v>
      </c>
      <c r="D9" s="611" t="s">
        <v>12</v>
      </c>
      <c r="E9" s="612"/>
      <c r="F9" s="612"/>
      <c r="G9" s="613"/>
      <c r="H9" s="196" t="s">
        <v>13</v>
      </c>
    </row>
    <row r="10" spans="1:10" s="54" customFormat="1" ht="19.5">
      <c r="B10" s="347" t="s">
        <v>14</v>
      </c>
      <c r="C10" s="350" t="s">
        <v>15</v>
      </c>
      <c r="D10" s="467" t="s">
        <v>16</v>
      </c>
      <c r="E10" s="59" t="s">
        <v>17</v>
      </c>
      <c r="F10" s="180" t="s">
        <v>18</v>
      </c>
      <c r="G10" s="180" t="s">
        <v>19</v>
      </c>
      <c r="H10" s="199">
        <f>SUM(H11)</f>
        <v>102.2</v>
      </c>
    </row>
    <row r="11" spans="1:10" s="54" customFormat="1" ht="15">
      <c r="B11" s="556"/>
      <c r="C11" s="557"/>
      <c r="D11" s="52" t="s">
        <v>20</v>
      </c>
      <c r="E11" s="149" t="s">
        <v>17</v>
      </c>
      <c r="F11" s="177">
        <v>14.6</v>
      </c>
      <c r="G11" s="177">
        <v>7</v>
      </c>
      <c r="H11" s="198">
        <f>F11*G11</f>
        <v>102.2</v>
      </c>
    </row>
    <row r="12" spans="1:10" s="54" customFormat="1" ht="19.5">
      <c r="B12" s="439" t="s">
        <v>21</v>
      </c>
      <c r="C12" s="292">
        <v>20121</v>
      </c>
      <c r="D12" s="472" t="s">
        <v>22</v>
      </c>
      <c r="E12" s="59" t="s">
        <v>32</v>
      </c>
      <c r="F12" s="281" t="s">
        <v>34</v>
      </c>
      <c r="G12" s="282" t="s">
        <v>35</v>
      </c>
      <c r="H12" s="197">
        <f>SUM(H13)</f>
        <v>0.16408</v>
      </c>
    </row>
    <row r="13" spans="1:10" s="54" customFormat="1" ht="15">
      <c r="B13" s="556"/>
      <c r="C13" s="557"/>
      <c r="D13" s="52" t="s">
        <v>23</v>
      </c>
      <c r="E13" s="211" t="s">
        <v>32</v>
      </c>
      <c r="F13" s="177">
        <f>23.44*0.7</f>
        <v>16.408000000000001</v>
      </c>
      <c r="G13" s="177">
        <v>0.01</v>
      </c>
      <c r="H13" s="198">
        <f>F13*G13</f>
        <v>0.16408</v>
      </c>
    </row>
    <row r="14" spans="1:10" s="54" customFormat="1" ht="39">
      <c r="B14" s="347" t="s">
        <v>24</v>
      </c>
      <c r="C14" s="292">
        <v>21301</v>
      </c>
      <c r="D14" s="472" t="s">
        <v>25</v>
      </c>
      <c r="E14" s="59" t="s">
        <v>17</v>
      </c>
      <c r="F14" s="180" t="s">
        <v>18</v>
      </c>
      <c r="G14" s="180" t="s">
        <v>19</v>
      </c>
      <c r="H14" s="199">
        <f>SUM(H15)</f>
        <v>3</v>
      </c>
    </row>
    <row r="15" spans="1:10" s="54" customFormat="1" ht="15">
      <c r="B15" s="546"/>
      <c r="C15" s="547"/>
      <c r="D15" s="52" t="s">
        <v>26</v>
      </c>
      <c r="E15" s="149" t="s">
        <v>17</v>
      </c>
      <c r="F15" s="177">
        <v>2</v>
      </c>
      <c r="G15" s="177">
        <v>1.5</v>
      </c>
      <c r="H15" s="198">
        <f>G15*F15</f>
        <v>3</v>
      </c>
    </row>
    <row r="16" spans="1:10" s="54" customFormat="1" ht="15.75">
      <c r="B16" s="567" t="s">
        <v>27</v>
      </c>
      <c r="C16" s="564"/>
      <c r="D16" s="568"/>
      <c r="E16" s="568"/>
      <c r="F16" s="568"/>
      <c r="G16" s="568"/>
      <c r="H16" s="569"/>
    </row>
    <row r="17" spans="2:8" s="54" customFormat="1" ht="15.75">
      <c r="B17" s="195">
        <v>2</v>
      </c>
      <c r="C17" s="290" t="s">
        <v>28</v>
      </c>
      <c r="D17" s="564" t="s">
        <v>29</v>
      </c>
      <c r="E17" s="564"/>
      <c r="F17" s="564"/>
      <c r="G17" s="564"/>
      <c r="H17" s="202" t="s">
        <v>13</v>
      </c>
    </row>
    <row r="18" spans="2:8" s="54" customFormat="1" ht="19.5">
      <c r="B18" s="347" t="s">
        <v>30</v>
      </c>
      <c r="C18" s="292">
        <v>30104</v>
      </c>
      <c r="D18" s="468" t="s">
        <v>31</v>
      </c>
      <c r="E18" s="59" t="s">
        <v>32</v>
      </c>
      <c r="F18" s="622" t="s">
        <v>33</v>
      </c>
      <c r="G18" s="623"/>
      <c r="H18" s="197">
        <f>SUM(H20:H21)</f>
        <v>1.3307330399999999</v>
      </c>
    </row>
    <row r="19" spans="2:8" s="54" customFormat="1" ht="15.75">
      <c r="B19" s="351"/>
      <c r="C19" s="352"/>
      <c r="D19" s="278"/>
      <c r="E19" s="59" t="s">
        <v>32</v>
      </c>
      <c r="F19" s="281" t="s">
        <v>34</v>
      </c>
      <c r="G19" s="282" t="s">
        <v>35</v>
      </c>
      <c r="H19" s="277">
        <f>H20</f>
        <v>1.3286</v>
      </c>
    </row>
    <row r="20" spans="2:8" s="54" customFormat="1" ht="15">
      <c r="B20" s="544"/>
      <c r="C20" s="545"/>
      <c r="D20" s="52" t="s">
        <v>20</v>
      </c>
      <c r="E20" s="211" t="s">
        <v>32</v>
      </c>
      <c r="F20" s="440">
        <f>H11</f>
        <v>102.2</v>
      </c>
      <c r="G20" s="440">
        <v>0.01</v>
      </c>
      <c r="H20" s="441">
        <f>(G20*F20)+(G20*F20*0.3)</f>
        <v>1.3286</v>
      </c>
    </row>
    <row r="21" spans="2:8" s="54" customFormat="1" ht="15">
      <c r="B21" s="551"/>
      <c r="C21" s="552"/>
      <c r="D21" s="52" t="s">
        <v>23</v>
      </c>
      <c r="E21" s="211" t="s">
        <v>32</v>
      </c>
      <c r="F21" s="177">
        <f>H13</f>
        <v>0.16408</v>
      </c>
      <c r="G21" s="177">
        <v>0.01</v>
      </c>
      <c r="H21" s="442">
        <f>(G21*F21)+(G21*F21*0.3)</f>
        <v>2.1330400000000001E-3</v>
      </c>
    </row>
    <row r="22" spans="2:8" s="54" customFormat="1" ht="15.75">
      <c r="B22" s="567" t="s">
        <v>36</v>
      </c>
      <c r="C22" s="564"/>
      <c r="D22" s="568"/>
      <c r="E22" s="568"/>
      <c r="F22" s="620"/>
      <c r="G22" s="620"/>
      <c r="H22" s="621"/>
    </row>
    <row r="23" spans="2:8" s="54" customFormat="1" ht="15.75">
      <c r="B23" s="353">
        <v>3</v>
      </c>
      <c r="C23" s="290" t="s">
        <v>37</v>
      </c>
      <c r="D23" s="559" t="s">
        <v>38</v>
      </c>
      <c r="E23" s="554"/>
      <c r="F23" s="554"/>
      <c r="G23" s="560"/>
      <c r="H23" s="202" t="s">
        <v>13</v>
      </c>
    </row>
    <row r="24" spans="2:8" s="54" customFormat="1" ht="19.5">
      <c r="B24" s="347" t="s">
        <v>39</v>
      </c>
      <c r="C24" s="292">
        <v>40103</v>
      </c>
      <c r="D24" s="469" t="s">
        <v>40</v>
      </c>
      <c r="E24" s="61" t="s">
        <v>32</v>
      </c>
      <c r="F24" s="180" t="s">
        <v>34</v>
      </c>
      <c r="G24" s="180" t="s">
        <v>41</v>
      </c>
      <c r="H24" s="199">
        <f>SUM(H26)</f>
        <v>6.0288000000000004</v>
      </c>
    </row>
    <row r="25" spans="2:8" s="54" customFormat="1" ht="15.75">
      <c r="B25" s="598"/>
      <c r="C25" s="599"/>
      <c r="D25" s="110" t="s">
        <v>42</v>
      </c>
      <c r="E25" s="111" t="s">
        <v>32</v>
      </c>
      <c r="F25" s="116" t="s">
        <v>34</v>
      </c>
      <c r="G25" s="116" t="s">
        <v>41</v>
      </c>
      <c r="H25" s="203">
        <f>H26</f>
        <v>6.0288000000000004</v>
      </c>
    </row>
    <row r="26" spans="2:8" s="54" customFormat="1" ht="15.75">
      <c r="B26" s="598"/>
      <c r="C26" s="599"/>
      <c r="D26" s="62" t="s">
        <v>43</v>
      </c>
      <c r="E26" s="63" t="s">
        <v>32</v>
      </c>
      <c r="F26" s="65">
        <f>(3.14*0.04)</f>
        <v>0.12560000000000002</v>
      </c>
      <c r="G26" s="181">
        <v>4</v>
      </c>
      <c r="H26" s="200">
        <f>G26*F26*12</f>
        <v>6.0288000000000004</v>
      </c>
    </row>
    <row r="27" spans="2:8" s="54" customFormat="1" ht="19.5">
      <c r="B27" s="347" t="s">
        <v>44</v>
      </c>
      <c r="C27" s="292">
        <v>41002</v>
      </c>
      <c r="D27" s="469" t="s">
        <v>45</v>
      </c>
      <c r="E27" s="59" t="s">
        <v>17</v>
      </c>
      <c r="F27" s="579" t="s">
        <v>34</v>
      </c>
      <c r="G27" s="579"/>
      <c r="H27" s="199">
        <f>H29</f>
        <v>1.5072000000000001</v>
      </c>
    </row>
    <row r="28" spans="2:8" s="54" customFormat="1" ht="15.6" customHeight="1">
      <c r="B28" s="598"/>
      <c r="C28" s="599"/>
      <c r="D28" s="110" t="s">
        <v>42</v>
      </c>
      <c r="E28" s="368" t="s">
        <v>17</v>
      </c>
      <c r="F28" s="596" t="s">
        <v>34</v>
      </c>
      <c r="G28" s="597"/>
      <c r="H28" s="204">
        <f>H29</f>
        <v>1.5072000000000001</v>
      </c>
    </row>
    <row r="29" spans="2:8" s="54" customFormat="1" ht="15.6" customHeight="1">
      <c r="B29" s="598"/>
      <c r="C29" s="599"/>
      <c r="D29" s="62" t="s">
        <v>43</v>
      </c>
      <c r="E29" s="149" t="s">
        <v>17</v>
      </c>
      <c r="F29" s="626">
        <v>0.12560000000000002</v>
      </c>
      <c r="G29" s="626"/>
      <c r="H29" s="200">
        <f>F29*12</f>
        <v>1.5072000000000001</v>
      </c>
    </row>
    <row r="30" spans="2:8" s="54" customFormat="1" ht="15.75">
      <c r="B30" s="567" t="s">
        <v>46</v>
      </c>
      <c r="C30" s="564"/>
      <c r="D30" s="568"/>
      <c r="E30" s="568"/>
      <c r="F30" s="568"/>
      <c r="G30" s="568"/>
      <c r="H30" s="569"/>
    </row>
    <row r="31" spans="2:8" s="54" customFormat="1" ht="15.75">
      <c r="B31" s="353">
        <v>4</v>
      </c>
      <c r="C31" s="290" t="s">
        <v>47</v>
      </c>
      <c r="D31" s="564" t="s">
        <v>48</v>
      </c>
      <c r="E31" s="564"/>
      <c r="F31" s="564"/>
      <c r="G31" s="564"/>
      <c r="H31" s="631"/>
    </row>
    <row r="32" spans="2:8" s="54" customFormat="1" ht="15.75">
      <c r="B32" s="624"/>
      <c r="C32" s="625"/>
      <c r="D32" s="559" t="s">
        <v>49</v>
      </c>
      <c r="E32" s="554"/>
      <c r="F32" s="554"/>
      <c r="G32" s="560"/>
      <c r="H32" s="202" t="s">
        <v>50</v>
      </c>
    </row>
    <row r="33" spans="2:8" s="54" customFormat="1" ht="19.5">
      <c r="B33" s="347" t="s">
        <v>51</v>
      </c>
      <c r="C33" s="292">
        <v>50302</v>
      </c>
      <c r="D33" s="469" t="s">
        <v>52</v>
      </c>
      <c r="E33" s="61" t="s">
        <v>32</v>
      </c>
      <c r="F33" s="180" t="s">
        <v>34</v>
      </c>
      <c r="G33" s="180" t="s">
        <v>41</v>
      </c>
      <c r="H33" s="199">
        <f>SUM(H35)</f>
        <v>3.3912000000000004</v>
      </c>
    </row>
    <row r="34" spans="2:8" s="54" customFormat="1" ht="15.75">
      <c r="B34" s="540"/>
      <c r="C34" s="627"/>
      <c r="D34" s="110" t="s">
        <v>42</v>
      </c>
      <c r="E34" s="111" t="s">
        <v>32</v>
      </c>
      <c r="F34" s="106" t="s">
        <v>34</v>
      </c>
      <c r="G34" s="106" t="s">
        <v>41</v>
      </c>
      <c r="H34" s="205">
        <f>H35</f>
        <v>3.3912000000000004</v>
      </c>
    </row>
    <row r="35" spans="2:8" s="54" customFormat="1" ht="15.75">
      <c r="B35" s="628"/>
      <c r="C35" s="629"/>
      <c r="D35" s="62" t="s">
        <v>43</v>
      </c>
      <c r="E35" s="63" t="s">
        <v>32</v>
      </c>
      <c r="F35" s="65">
        <f>(3.14*0.0225)</f>
        <v>7.0650000000000004E-2</v>
      </c>
      <c r="G35" s="181">
        <v>4</v>
      </c>
      <c r="H35" s="200">
        <f>12*G35*F35</f>
        <v>3.3912000000000004</v>
      </c>
    </row>
    <row r="36" spans="2:8" s="54" customFormat="1" ht="19.5">
      <c r="B36" s="347" t="s">
        <v>53</v>
      </c>
      <c r="C36" s="292">
        <v>51024</v>
      </c>
      <c r="D36" s="469" t="s">
        <v>54</v>
      </c>
      <c r="E36" s="176" t="s">
        <v>32</v>
      </c>
      <c r="F36" s="180" t="s">
        <v>55</v>
      </c>
      <c r="G36" s="180" t="s">
        <v>35</v>
      </c>
      <c r="H36" s="199">
        <f>H38</f>
        <v>4.2390000000000011E-2</v>
      </c>
    </row>
    <row r="37" spans="2:8" s="54" customFormat="1" ht="15.75">
      <c r="B37" s="546"/>
      <c r="C37" s="547"/>
      <c r="D37" s="110" t="s">
        <v>42</v>
      </c>
      <c r="E37" s="111" t="s">
        <v>32</v>
      </c>
      <c r="F37" s="106" t="s">
        <v>34</v>
      </c>
      <c r="G37" s="106" t="s">
        <v>35</v>
      </c>
      <c r="H37" s="205">
        <f>H38</f>
        <v>4.2390000000000011E-2</v>
      </c>
    </row>
    <row r="38" spans="2:8" s="54" customFormat="1" ht="15.75">
      <c r="B38" s="546"/>
      <c r="C38" s="547"/>
      <c r="D38" s="62" t="s">
        <v>43</v>
      </c>
      <c r="E38" s="56" t="s">
        <v>32</v>
      </c>
      <c r="F38" s="65">
        <f>(3.14*0.0225)</f>
        <v>7.0650000000000004E-2</v>
      </c>
      <c r="G38" s="64">
        <v>0.05</v>
      </c>
      <c r="H38" s="198">
        <f>12*G38*F38</f>
        <v>4.2390000000000011E-2</v>
      </c>
    </row>
    <row r="39" spans="2:8" s="54" customFormat="1" ht="19.5">
      <c r="B39" s="347" t="s">
        <v>56</v>
      </c>
      <c r="C39" s="292">
        <v>52004</v>
      </c>
      <c r="D39" s="469" t="s">
        <v>57</v>
      </c>
      <c r="E39" s="176" t="s">
        <v>58</v>
      </c>
      <c r="F39" s="180" t="s">
        <v>18</v>
      </c>
      <c r="G39" s="180" t="s">
        <v>59</v>
      </c>
      <c r="H39" s="199">
        <f>H41</f>
        <v>258.04799999999994</v>
      </c>
    </row>
    <row r="40" spans="2:8" s="54" customFormat="1" ht="15.75">
      <c r="B40" s="546"/>
      <c r="C40" s="547"/>
      <c r="D40" s="110" t="s">
        <v>42</v>
      </c>
      <c r="E40" s="111" t="s">
        <v>58</v>
      </c>
      <c r="F40" s="106" t="s">
        <v>18</v>
      </c>
      <c r="G40" s="106" t="s">
        <v>59</v>
      </c>
      <c r="H40" s="205">
        <f>H41</f>
        <v>258.04799999999994</v>
      </c>
    </row>
    <row r="41" spans="2:8" s="54" customFormat="1" ht="15.75">
      <c r="B41" s="546"/>
      <c r="C41" s="547"/>
      <c r="D41" s="62" t="s">
        <v>43</v>
      </c>
      <c r="E41" s="56" t="s">
        <v>58</v>
      </c>
      <c r="F41" s="177">
        <f>5.6*6*12</f>
        <v>403.19999999999993</v>
      </c>
      <c r="G41" s="177">
        <v>0.64</v>
      </c>
      <c r="H41" s="206">
        <f>G41*F41</f>
        <v>258.04799999999994</v>
      </c>
    </row>
    <row r="42" spans="2:8" s="54" customFormat="1" ht="19.5">
      <c r="B42" s="347" t="s">
        <v>60</v>
      </c>
      <c r="C42" s="292">
        <v>52014</v>
      </c>
      <c r="D42" s="469" t="s">
        <v>61</v>
      </c>
      <c r="E42" s="176" t="s">
        <v>58</v>
      </c>
      <c r="F42" s="180" t="s">
        <v>18</v>
      </c>
      <c r="G42" s="180" t="s">
        <v>59</v>
      </c>
      <c r="H42" s="199">
        <f>H44</f>
        <v>69.72</v>
      </c>
    </row>
    <row r="43" spans="2:8" s="54" customFormat="1" ht="15.75">
      <c r="B43" s="546"/>
      <c r="C43" s="547"/>
      <c r="D43" s="110" t="s">
        <v>42</v>
      </c>
      <c r="E43" s="111" t="s">
        <v>58</v>
      </c>
      <c r="F43" s="151" t="s">
        <v>18</v>
      </c>
      <c r="G43" s="151" t="s">
        <v>59</v>
      </c>
      <c r="H43" s="205">
        <f>H44</f>
        <v>69.72</v>
      </c>
    </row>
    <row r="44" spans="2:8" s="54" customFormat="1" ht="15.75">
      <c r="B44" s="546"/>
      <c r="C44" s="547"/>
      <c r="D44" s="62" t="s">
        <v>43</v>
      </c>
      <c r="E44" s="56" t="s">
        <v>58</v>
      </c>
      <c r="F44" s="177">
        <f>28*0.83*12</f>
        <v>278.88</v>
      </c>
      <c r="G44" s="177">
        <v>0.25</v>
      </c>
      <c r="H44" s="206">
        <f>G44*F44</f>
        <v>69.72</v>
      </c>
    </row>
    <row r="45" spans="2:8" s="54" customFormat="1" ht="19.5">
      <c r="B45" s="347" t="s">
        <v>62</v>
      </c>
      <c r="C45" s="292">
        <v>51032</v>
      </c>
      <c r="D45" s="469" t="s">
        <v>63</v>
      </c>
      <c r="E45" s="176" t="s">
        <v>32</v>
      </c>
      <c r="F45" s="180" t="s">
        <v>34</v>
      </c>
      <c r="G45" s="180" t="s">
        <v>41</v>
      </c>
      <c r="H45" s="199">
        <f>H47</f>
        <v>3.3912000000000004</v>
      </c>
    </row>
    <row r="46" spans="2:8" s="54" customFormat="1" ht="15.75">
      <c r="B46" s="544"/>
      <c r="C46" s="545"/>
      <c r="D46" s="110" t="s">
        <v>42</v>
      </c>
      <c r="E46" s="111" t="s">
        <v>32</v>
      </c>
      <c r="F46" s="106" t="s">
        <v>34</v>
      </c>
      <c r="G46" s="106" t="s">
        <v>41</v>
      </c>
      <c r="H46" s="205">
        <f>H47</f>
        <v>3.3912000000000004</v>
      </c>
    </row>
    <row r="47" spans="2:8" s="54" customFormat="1" ht="15.75">
      <c r="B47" s="548"/>
      <c r="C47" s="549"/>
      <c r="D47" s="62" t="s">
        <v>43</v>
      </c>
      <c r="E47" s="56" t="s">
        <v>32</v>
      </c>
      <c r="F47" s="65">
        <f>(3.14*0.0225)</f>
        <v>7.0650000000000004E-2</v>
      </c>
      <c r="G47" s="177">
        <v>4</v>
      </c>
      <c r="H47" s="206">
        <f>12*G47*F47</f>
        <v>3.3912000000000004</v>
      </c>
    </row>
    <row r="48" spans="2:8" s="54" customFormat="1" ht="15.75">
      <c r="B48" s="551"/>
      <c r="C48" s="552"/>
      <c r="D48" s="559" t="s">
        <v>64</v>
      </c>
      <c r="E48" s="554"/>
      <c r="F48" s="554"/>
      <c r="G48" s="560"/>
      <c r="H48" s="202" t="s">
        <v>50</v>
      </c>
    </row>
    <row r="49" spans="2:8" s="54" customFormat="1" ht="19.5">
      <c r="B49" s="347" t="s">
        <v>65</v>
      </c>
      <c r="C49" s="292">
        <v>50901</v>
      </c>
      <c r="D49" s="469" t="s">
        <v>66</v>
      </c>
      <c r="E49" s="61" t="s">
        <v>32</v>
      </c>
      <c r="F49" s="180" t="s">
        <v>34</v>
      </c>
      <c r="G49" s="180" t="s">
        <v>41</v>
      </c>
      <c r="H49" s="199">
        <f>SUM(H51)</f>
        <v>2.3759999999999999</v>
      </c>
    </row>
    <row r="50" spans="2:8" s="54" customFormat="1" ht="15.75">
      <c r="B50" s="540"/>
      <c r="C50" s="627"/>
      <c r="D50" s="110" t="s">
        <v>42</v>
      </c>
      <c r="E50" s="111" t="s">
        <v>32</v>
      </c>
      <c r="F50" s="106" t="s">
        <v>34</v>
      </c>
      <c r="G50" s="106" t="s">
        <v>41</v>
      </c>
      <c r="H50" s="205">
        <f>H51</f>
        <v>2.3759999999999999</v>
      </c>
    </row>
    <row r="51" spans="2:8" s="54" customFormat="1" ht="15.75">
      <c r="B51" s="628"/>
      <c r="C51" s="629"/>
      <c r="D51" s="57" t="s">
        <v>67</v>
      </c>
      <c r="E51" s="63" t="s">
        <v>32</v>
      </c>
      <c r="F51" s="65">
        <f>0.6*0.6</f>
        <v>0.36</v>
      </c>
      <c r="G51" s="181">
        <v>0.6</v>
      </c>
      <c r="H51" s="200">
        <f>11*G51*F51</f>
        <v>2.3759999999999999</v>
      </c>
    </row>
    <row r="52" spans="2:8" s="54" customFormat="1" ht="19.5">
      <c r="B52" s="347" t="s">
        <v>68</v>
      </c>
      <c r="C52" s="292">
        <v>51009</v>
      </c>
      <c r="D52" s="469" t="s">
        <v>69</v>
      </c>
      <c r="E52" s="176" t="s">
        <v>17</v>
      </c>
      <c r="F52" s="579" t="s">
        <v>34</v>
      </c>
      <c r="G52" s="579"/>
      <c r="H52" s="199">
        <f>H54</f>
        <v>3.96</v>
      </c>
    </row>
    <row r="53" spans="2:8" s="54" customFormat="1" ht="15.75">
      <c r="B53" s="598"/>
      <c r="C53" s="599"/>
      <c r="D53" s="110" t="s">
        <v>42</v>
      </c>
      <c r="E53" s="111" t="s">
        <v>17</v>
      </c>
      <c r="F53" s="596" t="s">
        <v>34</v>
      </c>
      <c r="G53" s="597"/>
      <c r="H53" s="204">
        <f>H54</f>
        <v>3.96</v>
      </c>
    </row>
    <row r="54" spans="2:8" s="54" customFormat="1" ht="15">
      <c r="B54" s="598"/>
      <c r="C54" s="599"/>
      <c r="D54" s="57" t="s">
        <v>67</v>
      </c>
      <c r="E54" s="56" t="s">
        <v>17</v>
      </c>
      <c r="F54" s="630">
        <f>0.6*0.6*11</f>
        <v>3.96</v>
      </c>
      <c r="G54" s="630"/>
      <c r="H54" s="200">
        <f>F54</f>
        <v>3.96</v>
      </c>
    </row>
    <row r="55" spans="2:8" s="54" customFormat="1" ht="19.5">
      <c r="B55" s="347" t="s">
        <v>70</v>
      </c>
      <c r="C55" s="292">
        <v>52014</v>
      </c>
      <c r="D55" s="469" t="s">
        <v>71</v>
      </c>
      <c r="E55" s="176" t="s">
        <v>58</v>
      </c>
      <c r="F55" s="180" t="s">
        <v>18</v>
      </c>
      <c r="G55" s="180" t="s">
        <v>59</v>
      </c>
      <c r="H55" s="199">
        <f>H57</f>
        <v>39.441600000000001</v>
      </c>
    </row>
    <row r="56" spans="2:8" s="54" customFormat="1" ht="15.75">
      <c r="B56" s="546"/>
      <c r="C56" s="547"/>
      <c r="D56" s="110" t="s">
        <v>42</v>
      </c>
      <c r="E56" s="111" t="s">
        <v>58</v>
      </c>
      <c r="F56" s="151" t="s">
        <v>18</v>
      </c>
      <c r="G56" s="151" t="s">
        <v>59</v>
      </c>
      <c r="H56" s="205">
        <f>H57</f>
        <v>39.441600000000001</v>
      </c>
    </row>
    <row r="57" spans="2:8" s="54" customFormat="1" ht="15">
      <c r="B57" s="546"/>
      <c r="C57" s="547"/>
      <c r="D57" s="57" t="s">
        <v>67</v>
      </c>
      <c r="E57" s="56" t="s">
        <v>58</v>
      </c>
      <c r="F57" s="177">
        <f>(7*2.19*11)+(4*1.77*11)</f>
        <v>246.51</v>
      </c>
      <c r="G57" s="177">
        <v>0.16</v>
      </c>
      <c r="H57" s="206">
        <f>G57*F57</f>
        <v>39.441600000000001</v>
      </c>
    </row>
    <row r="58" spans="2:8" s="54" customFormat="1" ht="19.5">
      <c r="B58" s="347" t="s">
        <v>72</v>
      </c>
      <c r="C58" s="292">
        <v>51032</v>
      </c>
      <c r="D58" s="469" t="s">
        <v>73</v>
      </c>
      <c r="E58" s="176" t="s">
        <v>32</v>
      </c>
      <c r="F58" s="180" t="s">
        <v>34</v>
      </c>
      <c r="G58" s="180" t="s">
        <v>41</v>
      </c>
      <c r="H58" s="199">
        <f>H60</f>
        <v>2.3759999999999999</v>
      </c>
    </row>
    <row r="59" spans="2:8" s="54" customFormat="1" ht="15.75">
      <c r="B59" s="546"/>
      <c r="C59" s="547"/>
      <c r="D59" s="110" t="s">
        <v>42</v>
      </c>
      <c r="E59" s="111" t="s">
        <v>32</v>
      </c>
      <c r="F59" s="151" t="s">
        <v>34</v>
      </c>
      <c r="G59" s="151" t="s">
        <v>41</v>
      </c>
      <c r="H59" s="205">
        <f>H60</f>
        <v>2.3759999999999999</v>
      </c>
    </row>
    <row r="60" spans="2:8" s="54" customFormat="1" ht="15">
      <c r="B60" s="546"/>
      <c r="C60" s="547"/>
      <c r="D60" s="57" t="s">
        <v>67</v>
      </c>
      <c r="E60" s="56" t="s">
        <v>32</v>
      </c>
      <c r="F60" s="65">
        <f>0.6*0.6</f>
        <v>0.36</v>
      </c>
      <c r="G60" s="181">
        <v>0.6</v>
      </c>
      <c r="H60" s="200">
        <f>11*G60*F60</f>
        <v>2.3759999999999999</v>
      </c>
    </row>
    <row r="61" spans="2:8" s="54" customFormat="1" ht="15.75">
      <c r="B61" s="567" t="s">
        <v>74</v>
      </c>
      <c r="C61" s="564"/>
      <c r="D61" s="568"/>
      <c r="E61" s="568"/>
      <c r="F61" s="568"/>
      <c r="G61" s="568"/>
      <c r="H61" s="569"/>
    </row>
    <row r="62" spans="2:8" s="54" customFormat="1" ht="15.75">
      <c r="B62" s="353">
        <v>5</v>
      </c>
      <c r="C62" s="290" t="s">
        <v>75</v>
      </c>
      <c r="D62" s="559" t="s">
        <v>76</v>
      </c>
      <c r="E62" s="554"/>
      <c r="F62" s="554"/>
      <c r="G62" s="560"/>
      <c r="H62" s="202" t="s">
        <v>50</v>
      </c>
    </row>
    <row r="63" spans="2:8" s="54" customFormat="1" ht="19.5">
      <c r="B63" s="347" t="s">
        <v>77</v>
      </c>
      <c r="C63" s="292">
        <v>60191</v>
      </c>
      <c r="D63" s="469" t="s">
        <v>78</v>
      </c>
      <c r="E63" s="61" t="s">
        <v>17</v>
      </c>
      <c r="F63" s="180" t="s">
        <v>18</v>
      </c>
      <c r="G63" s="180" t="s">
        <v>41</v>
      </c>
      <c r="H63" s="199">
        <f>SUM(H65+H71+H73+H76+H78+H83+H87)</f>
        <v>38.015000000000001</v>
      </c>
    </row>
    <row r="64" spans="2:8" s="54" customFormat="1" ht="15.75">
      <c r="B64" s="544"/>
      <c r="C64" s="545"/>
      <c r="D64" s="444" t="s">
        <v>79</v>
      </c>
      <c r="E64" s="56" t="s">
        <v>17</v>
      </c>
      <c r="F64" s="177">
        <f>SUM(F66:F70)</f>
        <v>21.919999999999998</v>
      </c>
      <c r="G64" s="177">
        <v>0.3</v>
      </c>
      <c r="H64" s="206">
        <f>G64*F64</f>
        <v>6.5759999999999996</v>
      </c>
    </row>
    <row r="65" spans="2:8" s="54" customFormat="1" ht="15.75">
      <c r="B65" s="548"/>
      <c r="C65" s="549"/>
      <c r="D65" s="445" t="s">
        <v>80</v>
      </c>
      <c r="E65" s="446" t="s">
        <v>17</v>
      </c>
      <c r="F65" s="180" t="s">
        <v>18</v>
      </c>
      <c r="G65" s="180" t="s">
        <v>41</v>
      </c>
      <c r="H65" s="199">
        <f>SUM(H66:H70)</f>
        <v>8.1349999999999998</v>
      </c>
    </row>
    <row r="66" spans="2:8" s="54" customFormat="1" ht="15">
      <c r="B66" s="548"/>
      <c r="C66" s="549"/>
      <c r="D66" s="276" t="s">
        <v>81</v>
      </c>
      <c r="E66" s="418" t="s">
        <v>17</v>
      </c>
      <c r="F66" s="177">
        <v>6.19</v>
      </c>
      <c r="G66" s="177">
        <v>0.4</v>
      </c>
      <c r="H66" s="206">
        <f>F66*G66</f>
        <v>2.4760000000000004</v>
      </c>
    </row>
    <row r="67" spans="2:8" s="54" customFormat="1" ht="15">
      <c r="B67" s="548"/>
      <c r="C67" s="549"/>
      <c r="D67" s="276" t="s">
        <v>82</v>
      </c>
      <c r="E67" s="418" t="s">
        <v>17</v>
      </c>
      <c r="F67" s="177">
        <v>4.7</v>
      </c>
      <c r="G67" s="177">
        <v>0.5</v>
      </c>
      <c r="H67" s="206">
        <f t="shared" ref="H67:H72" si="0">F67*G67</f>
        <v>2.35</v>
      </c>
    </row>
    <row r="68" spans="2:8" s="54" customFormat="1" ht="15">
      <c r="B68" s="548"/>
      <c r="C68" s="549"/>
      <c r="D68" s="276" t="s">
        <v>83</v>
      </c>
      <c r="E68" s="418" t="s">
        <v>17</v>
      </c>
      <c r="F68" s="177">
        <v>1.7</v>
      </c>
      <c r="G68" s="177">
        <v>0.3</v>
      </c>
      <c r="H68" s="206">
        <f t="shared" si="0"/>
        <v>0.51</v>
      </c>
    </row>
    <row r="69" spans="2:8" s="54" customFormat="1" ht="15">
      <c r="B69" s="548"/>
      <c r="C69" s="549"/>
      <c r="D69" s="276" t="s">
        <v>84</v>
      </c>
      <c r="E69" s="418" t="s">
        <v>17</v>
      </c>
      <c r="F69" s="177">
        <v>4.63</v>
      </c>
      <c r="G69" s="177">
        <v>0.3</v>
      </c>
      <c r="H69" s="206">
        <f t="shared" si="0"/>
        <v>1.389</v>
      </c>
    </row>
    <row r="70" spans="2:8" s="54" customFormat="1" ht="15">
      <c r="B70" s="548"/>
      <c r="C70" s="549"/>
      <c r="D70" s="276" t="s">
        <v>85</v>
      </c>
      <c r="E70" s="418" t="s">
        <v>17</v>
      </c>
      <c r="F70" s="177">
        <v>4.7</v>
      </c>
      <c r="G70" s="177">
        <v>0.3</v>
      </c>
      <c r="H70" s="206">
        <f t="shared" si="0"/>
        <v>1.41</v>
      </c>
    </row>
    <row r="71" spans="2:8" s="54" customFormat="1" ht="15.75">
      <c r="B71" s="548"/>
      <c r="C71" s="549"/>
      <c r="D71" s="445" t="s">
        <v>86</v>
      </c>
      <c r="E71" s="446" t="s">
        <v>17</v>
      </c>
      <c r="F71" s="180" t="s">
        <v>18</v>
      </c>
      <c r="G71" s="180" t="s">
        <v>41</v>
      </c>
      <c r="H71" s="492">
        <f>H72</f>
        <v>1.47</v>
      </c>
    </row>
    <row r="72" spans="2:8" s="54" customFormat="1" ht="15">
      <c r="B72" s="548"/>
      <c r="C72" s="549"/>
      <c r="D72" s="276" t="s">
        <v>86</v>
      </c>
      <c r="E72" s="56" t="s">
        <v>17</v>
      </c>
      <c r="F72" s="447">
        <f>SUM(F74:F75)</f>
        <v>4.9000000000000004</v>
      </c>
      <c r="G72" s="177">
        <v>0.3</v>
      </c>
      <c r="H72" s="206">
        <f t="shared" si="0"/>
        <v>1.47</v>
      </c>
    </row>
    <row r="73" spans="2:8" s="54" customFormat="1" ht="15.75">
      <c r="B73" s="548"/>
      <c r="C73" s="549"/>
      <c r="D73" s="445" t="s">
        <v>87</v>
      </c>
      <c r="E73" s="446" t="s">
        <v>17</v>
      </c>
      <c r="F73" s="180" t="s">
        <v>18</v>
      </c>
      <c r="G73" s="180" t="s">
        <v>41</v>
      </c>
      <c r="H73" s="199">
        <f>SUM(H74:H75)</f>
        <v>1.47</v>
      </c>
    </row>
    <row r="74" spans="2:8" s="54" customFormat="1" ht="15">
      <c r="B74" s="548"/>
      <c r="C74" s="549"/>
      <c r="D74" s="276" t="s">
        <v>88</v>
      </c>
      <c r="E74" s="56" t="s">
        <v>17</v>
      </c>
      <c r="F74" s="177">
        <v>2.4500000000000002</v>
      </c>
      <c r="G74" s="177">
        <v>0.3</v>
      </c>
      <c r="H74" s="206">
        <f>F74*G74</f>
        <v>0.73499999999999999</v>
      </c>
    </row>
    <row r="75" spans="2:8" s="54" customFormat="1" ht="15">
      <c r="B75" s="548"/>
      <c r="C75" s="549"/>
      <c r="D75" s="276" t="s">
        <v>89</v>
      </c>
      <c r="E75" s="56" t="s">
        <v>17</v>
      </c>
      <c r="F75" s="177">
        <v>2.4500000000000002</v>
      </c>
      <c r="G75" s="177">
        <v>0.3</v>
      </c>
      <c r="H75" s="206">
        <f>F75*G75</f>
        <v>0.73499999999999999</v>
      </c>
    </row>
    <row r="76" spans="2:8" s="54" customFormat="1" ht="15.75">
      <c r="B76" s="548"/>
      <c r="C76" s="549"/>
      <c r="D76" s="445" t="s">
        <v>90</v>
      </c>
      <c r="E76" s="446" t="s">
        <v>17</v>
      </c>
      <c r="F76" s="180" t="s">
        <v>18</v>
      </c>
      <c r="G76" s="180" t="s">
        <v>41</v>
      </c>
      <c r="H76" s="180">
        <f>H77</f>
        <v>6.81</v>
      </c>
    </row>
    <row r="77" spans="2:8" s="54" customFormat="1" ht="15">
      <c r="B77" s="548"/>
      <c r="C77" s="549"/>
      <c r="D77" s="276" t="s">
        <v>90</v>
      </c>
      <c r="E77" s="56" t="s">
        <v>17</v>
      </c>
      <c r="F77" s="177">
        <f>SUM(F79:F82)</f>
        <v>22.7</v>
      </c>
      <c r="G77" s="177">
        <v>0.3</v>
      </c>
      <c r="H77" s="206">
        <f>F77*G77</f>
        <v>6.81</v>
      </c>
    </row>
    <row r="78" spans="2:8" s="54" customFormat="1" ht="15.75">
      <c r="B78" s="548"/>
      <c r="C78" s="549"/>
      <c r="D78" s="445" t="s">
        <v>91</v>
      </c>
      <c r="E78" s="446" t="s">
        <v>17</v>
      </c>
      <c r="F78" s="180" t="s">
        <v>18</v>
      </c>
      <c r="G78" s="180" t="s">
        <v>41</v>
      </c>
      <c r="H78" s="199">
        <f>SUM(H79:H82)</f>
        <v>15.209999999999999</v>
      </c>
    </row>
    <row r="79" spans="2:8" s="54" customFormat="1" ht="15">
      <c r="B79" s="548"/>
      <c r="C79" s="549"/>
      <c r="D79" s="276" t="s">
        <v>92</v>
      </c>
      <c r="E79" s="56" t="s">
        <v>17</v>
      </c>
      <c r="F79" s="177">
        <v>4.7</v>
      </c>
      <c r="G79" s="177">
        <v>0.3</v>
      </c>
      <c r="H79" s="206">
        <f>F79*G79</f>
        <v>1.41</v>
      </c>
    </row>
    <row r="80" spans="2:8" s="54" customFormat="1" ht="15">
      <c r="B80" s="548"/>
      <c r="C80" s="549"/>
      <c r="D80" s="276" t="s">
        <v>93</v>
      </c>
      <c r="E80" s="56" t="s">
        <v>17</v>
      </c>
      <c r="F80" s="177">
        <v>7</v>
      </c>
      <c r="G80" s="177">
        <v>0.9</v>
      </c>
      <c r="H80" s="206">
        <f t="shared" ref="H80:H89" si="1">F80*G80</f>
        <v>6.3</v>
      </c>
    </row>
    <row r="81" spans="2:8" s="54" customFormat="1" ht="15">
      <c r="B81" s="548"/>
      <c r="C81" s="549"/>
      <c r="D81" s="276" t="s">
        <v>94</v>
      </c>
      <c r="E81" s="56" t="s">
        <v>17</v>
      </c>
      <c r="F81" s="177">
        <v>7</v>
      </c>
      <c r="G81" s="177">
        <v>0.9</v>
      </c>
      <c r="H81" s="206">
        <f t="shared" si="1"/>
        <v>6.3</v>
      </c>
    </row>
    <row r="82" spans="2:8" s="54" customFormat="1" ht="15">
      <c r="B82" s="548"/>
      <c r="C82" s="549"/>
      <c r="D82" s="276" t="s">
        <v>95</v>
      </c>
      <c r="E82" s="56" t="s">
        <v>17</v>
      </c>
      <c r="F82" s="177">
        <v>4</v>
      </c>
      <c r="G82" s="177">
        <v>0.3</v>
      </c>
      <c r="H82" s="206">
        <f t="shared" si="1"/>
        <v>1.2</v>
      </c>
    </row>
    <row r="83" spans="2:8" s="54" customFormat="1" ht="15.75">
      <c r="B83" s="443"/>
      <c r="C83" s="448"/>
      <c r="D83" s="445" t="s">
        <v>96</v>
      </c>
      <c r="E83" s="446" t="s">
        <v>17</v>
      </c>
      <c r="F83" s="180" t="s">
        <v>18</v>
      </c>
      <c r="G83" s="180" t="s">
        <v>41</v>
      </c>
      <c r="H83" s="199">
        <f>SUM(H84:H86)</f>
        <v>2.46</v>
      </c>
    </row>
    <row r="84" spans="2:8" s="54" customFormat="1" ht="15">
      <c r="B84" s="443"/>
      <c r="C84" s="448"/>
      <c r="D84" s="276" t="s">
        <v>97</v>
      </c>
      <c r="E84" s="56" t="s">
        <v>17</v>
      </c>
      <c r="F84" s="177">
        <v>2.4500000000000002</v>
      </c>
      <c r="G84" s="177">
        <v>0.3</v>
      </c>
      <c r="H84" s="206">
        <f t="shared" ref="H84:H85" si="2">F84*G84</f>
        <v>0.73499999999999999</v>
      </c>
    </row>
    <row r="85" spans="2:8" s="54" customFormat="1" ht="15">
      <c r="B85" s="443"/>
      <c r="C85" s="448"/>
      <c r="D85" s="276" t="s">
        <v>98</v>
      </c>
      <c r="E85" s="56" t="s">
        <v>17</v>
      </c>
      <c r="F85" s="177">
        <v>3.9</v>
      </c>
      <c r="G85" s="177">
        <v>0.3</v>
      </c>
      <c r="H85" s="206">
        <f t="shared" si="2"/>
        <v>1.17</v>
      </c>
    </row>
    <row r="86" spans="2:8" s="54" customFormat="1" ht="15">
      <c r="B86" s="443"/>
      <c r="C86" s="448"/>
      <c r="D86" s="276" t="s">
        <v>99</v>
      </c>
      <c r="E86" s="56" t="s">
        <v>17</v>
      </c>
      <c r="F86" s="177">
        <v>1.85</v>
      </c>
      <c r="G86" s="177">
        <v>0.3</v>
      </c>
      <c r="H86" s="206">
        <f t="shared" ref="H86" si="3">F86*G86</f>
        <v>0.55500000000000005</v>
      </c>
    </row>
    <row r="87" spans="2:8" s="54" customFormat="1" ht="15.75">
      <c r="B87" s="443"/>
      <c r="C87" s="448"/>
      <c r="D87" s="445" t="s">
        <v>100</v>
      </c>
      <c r="E87" s="446" t="s">
        <v>17</v>
      </c>
      <c r="F87" s="180" t="s">
        <v>18</v>
      </c>
      <c r="G87" s="180" t="s">
        <v>41</v>
      </c>
      <c r="H87" s="199">
        <f>SUM(H88:H90)</f>
        <v>2.46</v>
      </c>
    </row>
    <row r="88" spans="2:8" s="54" customFormat="1" ht="15">
      <c r="B88" s="443"/>
      <c r="C88" s="448"/>
      <c r="D88" s="276" t="s">
        <v>97</v>
      </c>
      <c r="E88" s="56" t="s">
        <v>17</v>
      </c>
      <c r="F88" s="177">
        <v>2.4500000000000002</v>
      </c>
      <c r="G88" s="177">
        <v>0.3</v>
      </c>
      <c r="H88" s="206">
        <f>F88*G88</f>
        <v>0.73499999999999999</v>
      </c>
    </row>
    <row r="89" spans="2:8" s="54" customFormat="1" ht="15">
      <c r="B89" s="443"/>
      <c r="C89" s="448"/>
      <c r="D89" s="276" t="s">
        <v>98</v>
      </c>
      <c r="E89" s="56" t="s">
        <v>17</v>
      </c>
      <c r="F89" s="177">
        <v>3.9</v>
      </c>
      <c r="G89" s="177">
        <v>0.3</v>
      </c>
      <c r="H89" s="206">
        <f t="shared" si="1"/>
        <v>1.17</v>
      </c>
    </row>
    <row r="90" spans="2:8" s="54" customFormat="1" ht="15">
      <c r="B90" s="443"/>
      <c r="C90" s="448"/>
      <c r="D90" s="276" t="s">
        <v>99</v>
      </c>
      <c r="E90" s="56" t="s">
        <v>17</v>
      </c>
      <c r="F90" s="177">
        <v>1.85</v>
      </c>
      <c r="G90" s="177">
        <v>0.3</v>
      </c>
      <c r="H90" s="206">
        <f t="shared" ref="H90" si="4">F90*G90</f>
        <v>0.55500000000000005</v>
      </c>
    </row>
    <row r="91" spans="2:8" s="54" customFormat="1" ht="19.5">
      <c r="B91" s="347" t="s">
        <v>101</v>
      </c>
      <c r="C91" s="292">
        <v>60305</v>
      </c>
      <c r="D91" s="469" t="s">
        <v>102</v>
      </c>
      <c r="E91" s="61" t="s">
        <v>103</v>
      </c>
      <c r="F91" s="180" t="s">
        <v>18</v>
      </c>
      <c r="G91" s="180" t="s">
        <v>59</v>
      </c>
      <c r="H91" s="199">
        <f>SUM(H92:H93)</f>
        <v>201.36</v>
      </c>
    </row>
    <row r="92" spans="2:8" s="54" customFormat="1" ht="15">
      <c r="B92" s="544"/>
      <c r="C92" s="545"/>
      <c r="D92" s="276" t="s">
        <v>104</v>
      </c>
      <c r="E92" s="56" t="s">
        <v>103</v>
      </c>
      <c r="F92" s="177">
        <f>142.1+39.9</f>
        <v>182</v>
      </c>
      <c r="G92" s="177">
        <v>0.4</v>
      </c>
      <c r="H92" s="206">
        <f>G92*F92</f>
        <v>72.8</v>
      </c>
    </row>
    <row r="93" spans="2:8" s="54" customFormat="1" ht="15">
      <c r="B93" s="548"/>
      <c r="C93" s="549"/>
      <c r="D93" s="276" t="s">
        <v>105</v>
      </c>
      <c r="E93" s="56" t="s">
        <v>103</v>
      </c>
      <c r="F93" s="34">
        <f>171.4+141+7+2</f>
        <v>321.39999999999998</v>
      </c>
      <c r="G93" s="177">
        <v>0.4</v>
      </c>
      <c r="H93" s="206">
        <f>G93*F93</f>
        <v>128.56</v>
      </c>
    </row>
    <row r="94" spans="2:8" s="54" customFormat="1" ht="19.5">
      <c r="B94" s="347" t="s">
        <v>106</v>
      </c>
      <c r="C94" s="354">
        <v>60314</v>
      </c>
      <c r="D94" s="469" t="s">
        <v>107</v>
      </c>
      <c r="E94" s="61" t="s">
        <v>103</v>
      </c>
      <c r="F94" s="180" t="s">
        <v>18</v>
      </c>
      <c r="G94" s="180" t="s">
        <v>59</v>
      </c>
      <c r="H94" s="199">
        <f>SUM(H95:H96)</f>
        <v>92.828800000000001</v>
      </c>
    </row>
    <row r="95" spans="2:8" s="54" customFormat="1" ht="15">
      <c r="B95" s="544"/>
      <c r="C95" s="545"/>
      <c r="D95" s="276" t="s">
        <v>108</v>
      </c>
      <c r="E95" s="56" t="s">
        <v>103</v>
      </c>
      <c r="F95" s="177">
        <f>72.2+1.34+1.34</f>
        <v>74.88000000000001</v>
      </c>
      <c r="G95" s="177">
        <v>0.16</v>
      </c>
      <c r="H95" s="206">
        <f>G95*F95</f>
        <v>11.980800000000002</v>
      </c>
    </row>
    <row r="96" spans="2:8" s="54" customFormat="1" ht="15">
      <c r="B96" s="548"/>
      <c r="C96" s="549"/>
      <c r="D96" s="276" t="s">
        <v>105</v>
      </c>
      <c r="E96" s="56" t="s">
        <v>103</v>
      </c>
      <c r="F96" s="177">
        <f>72.2+433.1</f>
        <v>505.3</v>
      </c>
      <c r="G96" s="177">
        <v>0.16</v>
      </c>
      <c r="H96" s="206">
        <f>G96*F96</f>
        <v>80.847999999999999</v>
      </c>
    </row>
    <row r="97" spans="2:8" s="54" customFormat="1" ht="19.5">
      <c r="B97" s="347" t="s">
        <v>109</v>
      </c>
      <c r="C97" s="354" t="s">
        <v>110</v>
      </c>
      <c r="D97" s="469" t="s">
        <v>61</v>
      </c>
      <c r="E97" s="61" t="s">
        <v>103</v>
      </c>
      <c r="F97" s="180" t="s">
        <v>18</v>
      </c>
      <c r="G97" s="180" t="s">
        <v>59</v>
      </c>
      <c r="H97" s="199">
        <f>H98</f>
        <v>35.25</v>
      </c>
    </row>
    <row r="98" spans="2:8" s="54" customFormat="1" ht="15">
      <c r="B98" s="544"/>
      <c r="C98" s="545"/>
      <c r="D98" s="276" t="s">
        <v>111</v>
      </c>
      <c r="E98" s="56" t="s">
        <v>103</v>
      </c>
      <c r="F98" s="177">
        <v>141</v>
      </c>
      <c r="G98" s="177">
        <v>0.25</v>
      </c>
      <c r="H98" s="206">
        <f>G98*F98</f>
        <v>35.25</v>
      </c>
    </row>
    <row r="99" spans="2:8" s="54" customFormat="1" ht="19.5">
      <c r="B99" s="347" t="s">
        <v>112</v>
      </c>
      <c r="C99" s="292">
        <v>60305</v>
      </c>
      <c r="D99" s="469" t="s">
        <v>57</v>
      </c>
      <c r="E99" s="61" t="s">
        <v>103</v>
      </c>
      <c r="F99" s="180" t="s">
        <v>18</v>
      </c>
      <c r="G99" s="180" t="s">
        <v>59</v>
      </c>
      <c r="H99" s="199">
        <f>SUM(H100:H101)</f>
        <v>72.447999999999993</v>
      </c>
    </row>
    <row r="100" spans="2:8" s="54" customFormat="1" ht="15">
      <c r="B100" s="355"/>
      <c r="C100" s="356"/>
      <c r="D100" s="276" t="s">
        <v>108</v>
      </c>
      <c r="E100" s="56" t="s">
        <v>103</v>
      </c>
      <c r="F100" s="177">
        <f>7.1+18.5+7</f>
        <v>32.6</v>
      </c>
      <c r="G100" s="177">
        <v>0.64</v>
      </c>
      <c r="H100" s="206">
        <f>G100*F100</f>
        <v>20.864000000000001</v>
      </c>
    </row>
    <row r="101" spans="2:8" s="54" customFormat="1" ht="15">
      <c r="B101" s="348"/>
      <c r="C101" s="349"/>
      <c r="D101" s="276" t="s">
        <v>111</v>
      </c>
      <c r="E101" s="56" t="s">
        <v>103</v>
      </c>
      <c r="F101" s="177">
        <f>28.8+51.8</f>
        <v>80.599999999999994</v>
      </c>
      <c r="G101" s="177">
        <v>0.64</v>
      </c>
      <c r="H101" s="206">
        <f>F101*G101</f>
        <v>51.583999999999996</v>
      </c>
    </row>
    <row r="102" spans="2:8" s="54" customFormat="1" ht="19.5">
      <c r="B102" s="347" t="s">
        <v>113</v>
      </c>
      <c r="C102" s="292" t="s">
        <v>114</v>
      </c>
      <c r="D102" s="469" t="s">
        <v>115</v>
      </c>
      <c r="E102" s="61" t="s">
        <v>103</v>
      </c>
      <c r="F102" s="180" t="s">
        <v>18</v>
      </c>
      <c r="G102" s="180" t="s">
        <v>59</v>
      </c>
      <c r="H102" s="199">
        <f>SUM(H103:H104)</f>
        <v>71.082000000000008</v>
      </c>
    </row>
    <row r="103" spans="2:8" s="54" customFormat="1" ht="15">
      <c r="B103" s="544"/>
      <c r="C103" s="545"/>
      <c r="D103" s="276" t="s">
        <v>104</v>
      </c>
      <c r="E103" s="56" t="s">
        <v>103</v>
      </c>
      <c r="F103" s="177">
        <f>6+37.1</f>
        <v>43.1</v>
      </c>
      <c r="G103" s="177">
        <v>0.99</v>
      </c>
      <c r="H103" s="206">
        <f>F103*G103</f>
        <v>42.669000000000004</v>
      </c>
    </row>
    <row r="104" spans="2:8" s="54" customFormat="1" ht="15">
      <c r="B104" s="548"/>
      <c r="C104" s="549"/>
      <c r="D104" s="276" t="s">
        <v>111</v>
      </c>
      <c r="E104" s="56" t="s">
        <v>103</v>
      </c>
      <c r="F104" s="177">
        <f>4.2+24.5</f>
        <v>28.7</v>
      </c>
      <c r="G104" s="177">
        <v>0.99</v>
      </c>
      <c r="H104" s="206">
        <f>F104*G104</f>
        <v>28.413</v>
      </c>
    </row>
    <row r="105" spans="2:8" s="54" customFormat="1" ht="19.5">
      <c r="B105" s="347" t="s">
        <v>116</v>
      </c>
      <c r="C105" s="292" t="s">
        <v>117</v>
      </c>
      <c r="D105" s="469" t="s">
        <v>118</v>
      </c>
      <c r="E105" s="61" t="s">
        <v>103</v>
      </c>
      <c r="F105" s="180" t="s">
        <v>18</v>
      </c>
      <c r="G105" s="180" t="s">
        <v>59</v>
      </c>
      <c r="H105" s="199">
        <f>H106</f>
        <v>78.368000000000009</v>
      </c>
    </row>
    <row r="106" spans="2:8" s="54" customFormat="1" ht="15">
      <c r="B106" s="544"/>
      <c r="C106" s="545"/>
      <c r="D106" s="276" t="s">
        <v>104</v>
      </c>
      <c r="E106" s="56" t="s">
        <v>103</v>
      </c>
      <c r="F106" s="177">
        <f>12.5+37.1</f>
        <v>49.6</v>
      </c>
      <c r="G106" s="177">
        <v>1.58</v>
      </c>
      <c r="H106" s="206">
        <f>G106*F106</f>
        <v>78.368000000000009</v>
      </c>
    </row>
    <row r="107" spans="2:8" s="54" customFormat="1" ht="19.5">
      <c r="B107" s="347" t="s">
        <v>119</v>
      </c>
      <c r="C107" s="292">
        <v>60517</v>
      </c>
      <c r="D107" s="469" t="s">
        <v>120</v>
      </c>
      <c r="E107" s="61" t="s">
        <v>32</v>
      </c>
      <c r="F107" s="180" t="s">
        <v>121</v>
      </c>
      <c r="G107" s="180" t="s">
        <v>18</v>
      </c>
      <c r="H107" s="199">
        <f>H108</f>
        <v>2.2283999999999997</v>
      </c>
    </row>
    <row r="108" spans="2:8" s="54" customFormat="1" ht="15">
      <c r="B108" s="544"/>
      <c r="C108" s="545"/>
      <c r="D108" s="276" t="s">
        <v>122</v>
      </c>
      <c r="E108" s="56" t="s">
        <v>32</v>
      </c>
      <c r="F108" s="177">
        <f>0.15*0.3</f>
        <v>4.4999999999999998E-2</v>
      </c>
      <c r="G108" s="206">
        <f>21.92+4.9+22.7</f>
        <v>49.519999999999996</v>
      </c>
      <c r="H108" s="206">
        <f>G108*F108</f>
        <v>2.2283999999999997</v>
      </c>
    </row>
    <row r="109" spans="2:8" s="54" customFormat="1" ht="15.75">
      <c r="B109" s="548"/>
      <c r="C109" s="549"/>
      <c r="D109" s="445" t="s">
        <v>123</v>
      </c>
      <c r="E109" s="61" t="s">
        <v>17</v>
      </c>
      <c r="F109" s="180" t="s">
        <v>121</v>
      </c>
      <c r="G109" s="180" t="s">
        <v>18</v>
      </c>
      <c r="H109" s="199">
        <f>SUM(H110:H123)</f>
        <v>4.1137499999999996</v>
      </c>
    </row>
    <row r="110" spans="2:8" s="54" customFormat="1" ht="15">
      <c r="B110" s="548"/>
      <c r="C110" s="549"/>
      <c r="D110" s="276" t="s">
        <v>81</v>
      </c>
      <c r="E110" s="418" t="s">
        <v>17</v>
      </c>
      <c r="F110" s="149">
        <f>0.15*0.4</f>
        <v>0.06</v>
      </c>
      <c r="G110" s="177">
        <v>6.19</v>
      </c>
      <c r="H110" s="177">
        <f>F110*G110</f>
        <v>0.37140000000000001</v>
      </c>
    </row>
    <row r="111" spans="2:8" s="54" customFormat="1" ht="15">
      <c r="B111" s="548"/>
      <c r="C111" s="549"/>
      <c r="D111" s="276" t="s">
        <v>82</v>
      </c>
      <c r="E111" s="418" t="s">
        <v>17</v>
      </c>
      <c r="F111" s="149">
        <f>0.15*0.5</f>
        <v>7.4999999999999997E-2</v>
      </c>
      <c r="G111" s="177">
        <v>4.7</v>
      </c>
      <c r="H111" s="177">
        <f t="shared" ref="H111:H123" si="5">F111*G111</f>
        <v>0.35249999999999998</v>
      </c>
    </row>
    <row r="112" spans="2:8" s="54" customFormat="1" ht="15">
      <c r="B112" s="548"/>
      <c r="C112" s="549"/>
      <c r="D112" s="276" t="s">
        <v>83</v>
      </c>
      <c r="E112" s="418" t="s">
        <v>17</v>
      </c>
      <c r="F112" s="149">
        <f>0.15*0.3</f>
        <v>4.4999999999999998E-2</v>
      </c>
      <c r="G112" s="177">
        <v>1.7</v>
      </c>
      <c r="H112" s="177">
        <f t="shared" si="5"/>
        <v>7.6499999999999999E-2</v>
      </c>
    </row>
    <row r="113" spans="2:9" s="54" customFormat="1" ht="15">
      <c r="B113" s="548"/>
      <c r="C113" s="549"/>
      <c r="D113" s="276" t="s">
        <v>84</v>
      </c>
      <c r="E113" s="418" t="s">
        <v>17</v>
      </c>
      <c r="F113" s="149">
        <f>0.15*0.3</f>
        <v>4.4999999999999998E-2</v>
      </c>
      <c r="G113" s="177">
        <v>4.63</v>
      </c>
      <c r="H113" s="177">
        <f t="shared" si="5"/>
        <v>0.20834999999999998</v>
      </c>
    </row>
    <row r="114" spans="2:9" s="54" customFormat="1" ht="15">
      <c r="B114" s="548"/>
      <c r="C114" s="549"/>
      <c r="D114" s="276" t="s">
        <v>85</v>
      </c>
      <c r="E114" s="418" t="s">
        <v>17</v>
      </c>
      <c r="F114" s="149">
        <f>0.15*0.3</f>
        <v>4.4999999999999998E-2</v>
      </c>
      <c r="G114" s="177">
        <v>4.7</v>
      </c>
      <c r="H114" s="177">
        <f t="shared" si="5"/>
        <v>0.21149999999999999</v>
      </c>
    </row>
    <row r="115" spans="2:9" s="54" customFormat="1" ht="15">
      <c r="B115" s="548"/>
      <c r="C115" s="549"/>
      <c r="D115" s="276" t="s">
        <v>88</v>
      </c>
      <c r="E115" s="56" t="s">
        <v>17</v>
      </c>
      <c r="F115" s="149">
        <f t="shared" ref="F115:F117" si="6">0.15*0.3</f>
        <v>4.4999999999999998E-2</v>
      </c>
      <c r="G115" s="177">
        <v>2.4500000000000002</v>
      </c>
      <c r="H115" s="177">
        <f t="shared" si="5"/>
        <v>0.11025</v>
      </c>
    </row>
    <row r="116" spans="2:9" s="54" customFormat="1" ht="15">
      <c r="B116" s="548"/>
      <c r="C116" s="549"/>
      <c r="D116" s="276" t="s">
        <v>89</v>
      </c>
      <c r="E116" s="56" t="s">
        <v>17</v>
      </c>
      <c r="F116" s="149">
        <f t="shared" si="6"/>
        <v>4.4999999999999998E-2</v>
      </c>
      <c r="G116" s="177">
        <v>2.4500000000000002</v>
      </c>
      <c r="H116" s="177">
        <f t="shared" si="5"/>
        <v>0.11025</v>
      </c>
    </row>
    <row r="117" spans="2:9" s="54" customFormat="1" ht="15">
      <c r="B117" s="548"/>
      <c r="C117" s="549"/>
      <c r="D117" s="276" t="s">
        <v>92</v>
      </c>
      <c r="E117" s="56" t="s">
        <v>17</v>
      </c>
      <c r="F117" s="149">
        <f t="shared" si="6"/>
        <v>4.4999999999999998E-2</v>
      </c>
      <c r="G117" s="177">
        <v>4.7</v>
      </c>
      <c r="H117" s="177">
        <f t="shared" si="5"/>
        <v>0.21149999999999999</v>
      </c>
    </row>
    <row r="118" spans="2:9" s="54" customFormat="1" ht="15">
      <c r="B118" s="548"/>
      <c r="C118" s="549"/>
      <c r="D118" s="276" t="s">
        <v>93</v>
      </c>
      <c r="E118" s="56" t="s">
        <v>17</v>
      </c>
      <c r="F118" s="149">
        <f>0.15*0.9</f>
        <v>0.13500000000000001</v>
      </c>
      <c r="G118" s="177">
        <v>7</v>
      </c>
      <c r="H118" s="177">
        <f t="shared" si="5"/>
        <v>0.94500000000000006</v>
      </c>
    </row>
    <row r="119" spans="2:9" s="54" customFormat="1" ht="15">
      <c r="B119" s="548"/>
      <c r="C119" s="549"/>
      <c r="D119" s="276" t="s">
        <v>94</v>
      </c>
      <c r="E119" s="56" t="s">
        <v>17</v>
      </c>
      <c r="F119" s="149">
        <f>0.15*0.9</f>
        <v>0.13500000000000001</v>
      </c>
      <c r="G119" s="177">
        <v>7</v>
      </c>
      <c r="H119" s="177">
        <f t="shared" si="5"/>
        <v>0.94500000000000006</v>
      </c>
    </row>
    <row r="120" spans="2:9" s="54" customFormat="1" ht="15">
      <c r="B120" s="548"/>
      <c r="C120" s="549"/>
      <c r="D120" s="276" t="s">
        <v>95</v>
      </c>
      <c r="E120" s="56" t="s">
        <v>17</v>
      </c>
      <c r="F120" s="149">
        <f>0.15*0.3</f>
        <v>4.4999999999999998E-2</v>
      </c>
      <c r="G120" s="177">
        <v>4</v>
      </c>
      <c r="H120" s="177">
        <f t="shared" si="5"/>
        <v>0.18</v>
      </c>
    </row>
    <row r="121" spans="2:9" s="54" customFormat="1" ht="15">
      <c r="B121" s="548"/>
      <c r="C121" s="549"/>
      <c r="D121" s="276" t="s">
        <v>97</v>
      </c>
      <c r="E121" s="56" t="s">
        <v>17</v>
      </c>
      <c r="F121" s="149">
        <f>0.15*0.3</f>
        <v>4.4999999999999998E-2</v>
      </c>
      <c r="G121" s="177">
        <v>2.95</v>
      </c>
      <c r="H121" s="177">
        <f t="shared" si="5"/>
        <v>0.13275000000000001</v>
      </c>
    </row>
    <row r="122" spans="2:9" s="54" customFormat="1" ht="15">
      <c r="B122" s="548"/>
      <c r="C122" s="549"/>
      <c r="D122" s="276" t="s">
        <v>98</v>
      </c>
      <c r="E122" s="56" t="s">
        <v>17</v>
      </c>
      <c r="F122" s="149">
        <f>0.15*0.3</f>
        <v>4.4999999999999998E-2</v>
      </c>
      <c r="G122" s="177">
        <v>3.9</v>
      </c>
      <c r="H122" s="177">
        <f t="shared" si="5"/>
        <v>0.17549999999999999</v>
      </c>
    </row>
    <row r="123" spans="2:9" s="54" customFormat="1" ht="15">
      <c r="B123" s="548"/>
      <c r="C123" s="549"/>
      <c r="D123" s="276" t="s">
        <v>99</v>
      </c>
      <c r="E123" s="56" t="s">
        <v>17</v>
      </c>
      <c r="F123" s="149">
        <f>0.15*0.3</f>
        <v>4.4999999999999998E-2</v>
      </c>
      <c r="G123" s="177">
        <v>1.85</v>
      </c>
      <c r="H123" s="177">
        <f t="shared" si="5"/>
        <v>8.3250000000000005E-2</v>
      </c>
      <c r="I123" s="531"/>
    </row>
    <row r="124" spans="2:9" s="54" customFormat="1" ht="15.75">
      <c r="B124" s="548"/>
      <c r="C124" s="549"/>
      <c r="D124" s="449" t="s">
        <v>124</v>
      </c>
      <c r="E124" s="450"/>
      <c r="F124" s="451"/>
      <c r="G124" s="451"/>
      <c r="H124" s="428"/>
    </row>
    <row r="125" spans="2:9" s="54" customFormat="1" ht="15.75">
      <c r="B125" s="548"/>
      <c r="C125" s="550"/>
      <c r="D125" s="97" t="s">
        <v>125</v>
      </c>
      <c r="E125" s="61" t="s">
        <v>17</v>
      </c>
      <c r="F125" s="180" t="s">
        <v>121</v>
      </c>
      <c r="G125" s="180" t="s">
        <v>18</v>
      </c>
      <c r="H125" s="199">
        <f>SUM(H126:H136)</f>
        <v>0.2848</v>
      </c>
    </row>
    <row r="126" spans="2:9" s="54" customFormat="1" ht="15">
      <c r="B126" s="443"/>
      <c r="C126" s="448"/>
      <c r="D126" s="53" t="s">
        <v>126</v>
      </c>
      <c r="E126" s="56" t="s">
        <v>17</v>
      </c>
      <c r="F126" s="55">
        <f>0.4*0.28</f>
        <v>0.11200000000000002</v>
      </c>
      <c r="G126" s="149">
        <v>0.4</v>
      </c>
      <c r="H126" s="55">
        <f>F126*G126</f>
        <v>4.4800000000000006E-2</v>
      </c>
    </row>
    <row r="127" spans="2:9" s="54" customFormat="1" ht="15">
      <c r="B127" s="443"/>
      <c r="C127" s="448"/>
      <c r="D127" s="53" t="s">
        <v>127</v>
      </c>
      <c r="E127" s="56" t="s">
        <v>17</v>
      </c>
      <c r="F127" s="55">
        <f>0.4*0.15</f>
        <v>0.06</v>
      </c>
      <c r="G127" s="149">
        <v>0.4</v>
      </c>
      <c r="H127" s="55">
        <f t="shared" ref="H127:H136" si="7">F127*G127</f>
        <v>2.4E-2</v>
      </c>
    </row>
    <row r="128" spans="2:9" s="54" customFormat="1" ht="15">
      <c r="B128" s="443"/>
      <c r="C128" s="448"/>
      <c r="D128" s="53" t="s">
        <v>128</v>
      </c>
      <c r="E128" s="56" t="s">
        <v>17</v>
      </c>
      <c r="F128" s="55">
        <f>0.4*0.15</f>
        <v>0.06</v>
      </c>
      <c r="G128" s="149">
        <v>0.4</v>
      </c>
      <c r="H128" s="55">
        <f t="shared" si="7"/>
        <v>2.4E-2</v>
      </c>
    </row>
    <row r="129" spans="2:8" s="54" customFormat="1" ht="15">
      <c r="B129" s="443"/>
      <c r="C129" s="448"/>
      <c r="D129" s="53" t="s">
        <v>129</v>
      </c>
      <c r="E129" s="56" t="s">
        <v>17</v>
      </c>
      <c r="F129" s="55">
        <f>0.3*0.15</f>
        <v>4.4999999999999998E-2</v>
      </c>
      <c r="G129" s="149">
        <v>0.4</v>
      </c>
      <c r="H129" s="55">
        <f t="shared" si="7"/>
        <v>1.7999999999999999E-2</v>
      </c>
    </row>
    <row r="130" spans="2:8" s="54" customFormat="1" ht="15">
      <c r="B130" s="443"/>
      <c r="C130" s="448"/>
      <c r="D130" s="53" t="s">
        <v>130</v>
      </c>
      <c r="E130" s="56" t="s">
        <v>17</v>
      </c>
      <c r="F130" s="55">
        <f>0.3*0.15</f>
        <v>4.4999999999999998E-2</v>
      </c>
      <c r="G130" s="149">
        <v>0.4</v>
      </c>
      <c r="H130" s="55">
        <f t="shared" si="7"/>
        <v>1.7999999999999999E-2</v>
      </c>
    </row>
    <row r="131" spans="2:8" s="54" customFormat="1" ht="15">
      <c r="B131" s="443"/>
      <c r="C131" s="448"/>
      <c r="D131" s="53" t="s">
        <v>131</v>
      </c>
      <c r="E131" s="56" t="s">
        <v>17</v>
      </c>
      <c r="F131" s="55">
        <f>0.5*0.15</f>
        <v>7.4999999999999997E-2</v>
      </c>
      <c r="G131" s="149">
        <v>0.4</v>
      </c>
      <c r="H131" s="55">
        <f t="shared" si="7"/>
        <v>0.03</v>
      </c>
    </row>
    <row r="132" spans="2:8" s="54" customFormat="1" ht="15">
      <c r="B132" s="443"/>
      <c r="C132" s="448"/>
      <c r="D132" s="53" t="s">
        <v>132</v>
      </c>
      <c r="E132" s="56" t="s">
        <v>17</v>
      </c>
      <c r="F132" s="55">
        <f t="shared" ref="F132:F134" si="8">0.5*0.15</f>
        <v>7.4999999999999997E-2</v>
      </c>
      <c r="G132" s="149">
        <v>0.4</v>
      </c>
      <c r="H132" s="55">
        <f t="shared" si="7"/>
        <v>0.03</v>
      </c>
    </row>
    <row r="133" spans="2:8" s="54" customFormat="1" ht="15">
      <c r="B133" s="443"/>
      <c r="C133" s="448"/>
      <c r="D133" s="53" t="s">
        <v>133</v>
      </c>
      <c r="E133" s="56" t="s">
        <v>17</v>
      </c>
      <c r="F133" s="55">
        <f t="shared" si="8"/>
        <v>7.4999999999999997E-2</v>
      </c>
      <c r="G133" s="149">
        <v>0.4</v>
      </c>
      <c r="H133" s="55">
        <f t="shared" si="7"/>
        <v>0.03</v>
      </c>
    </row>
    <row r="134" spans="2:8" s="54" customFormat="1" ht="15">
      <c r="B134" s="443"/>
      <c r="C134" s="448"/>
      <c r="D134" s="53" t="s">
        <v>134</v>
      </c>
      <c r="E134" s="56" t="s">
        <v>17</v>
      </c>
      <c r="F134" s="55">
        <f t="shared" si="8"/>
        <v>7.4999999999999997E-2</v>
      </c>
      <c r="G134" s="149">
        <v>0.4</v>
      </c>
      <c r="H134" s="55">
        <f t="shared" si="7"/>
        <v>0.03</v>
      </c>
    </row>
    <row r="135" spans="2:8" s="54" customFormat="1" ht="15">
      <c r="B135" s="443"/>
      <c r="C135" s="448"/>
      <c r="D135" s="276" t="s">
        <v>135</v>
      </c>
      <c r="E135" s="56" t="s">
        <v>17</v>
      </c>
      <c r="F135" s="55">
        <f>0.3*0.15</f>
        <v>4.4999999999999998E-2</v>
      </c>
      <c r="G135" s="149">
        <v>0.4</v>
      </c>
      <c r="H135" s="206">
        <f t="shared" si="7"/>
        <v>1.7999999999999999E-2</v>
      </c>
    </row>
    <row r="136" spans="2:8" s="54" customFormat="1" ht="15">
      <c r="B136" s="443"/>
      <c r="C136" s="448"/>
      <c r="D136" s="276" t="s">
        <v>136</v>
      </c>
      <c r="E136" s="56" t="s">
        <v>17</v>
      </c>
      <c r="F136" s="55">
        <f>0.3*0.15</f>
        <v>4.4999999999999998E-2</v>
      </c>
      <c r="G136" s="149">
        <v>0.4</v>
      </c>
      <c r="H136" s="206">
        <f t="shared" si="7"/>
        <v>1.7999999999999999E-2</v>
      </c>
    </row>
    <row r="137" spans="2:8" s="54" customFormat="1" ht="15.75">
      <c r="B137" s="443"/>
      <c r="C137" s="448"/>
      <c r="D137" s="97" t="s">
        <v>137</v>
      </c>
      <c r="E137" s="61" t="s">
        <v>17</v>
      </c>
      <c r="F137" s="180" t="s">
        <v>121</v>
      </c>
      <c r="G137" s="180" t="s">
        <v>18</v>
      </c>
      <c r="H137" s="199">
        <f>SUM(H138:H148)</f>
        <v>2.2000799999999998</v>
      </c>
    </row>
    <row r="138" spans="2:8" s="54" customFormat="1" ht="15">
      <c r="B138" s="443"/>
      <c r="C138" s="448"/>
      <c r="D138" s="53" t="s">
        <v>126</v>
      </c>
      <c r="E138" s="56" t="s">
        <v>17</v>
      </c>
      <c r="F138" s="55">
        <f>0.4*0.28</f>
        <v>0.11200000000000002</v>
      </c>
      <c r="G138" s="149">
        <v>3.09</v>
      </c>
      <c r="H138" s="55">
        <f>F138*G138</f>
        <v>0.34608000000000005</v>
      </c>
    </row>
    <row r="139" spans="2:8" s="54" customFormat="1" ht="15">
      <c r="B139" s="443"/>
      <c r="C139" s="448"/>
      <c r="D139" s="53" t="s">
        <v>127</v>
      </c>
      <c r="E139" s="56" t="s">
        <v>17</v>
      </c>
      <c r="F139" s="55">
        <f>0.4*0.15</f>
        <v>0.06</v>
      </c>
      <c r="G139" s="149">
        <v>3.09</v>
      </c>
      <c r="H139" s="55">
        <f t="shared" ref="H139:H148" si="9">F139*G139</f>
        <v>0.18539999999999998</v>
      </c>
    </row>
    <row r="140" spans="2:8" s="54" customFormat="1" ht="15">
      <c r="B140" s="443"/>
      <c r="C140" s="448"/>
      <c r="D140" s="53" t="s">
        <v>128</v>
      </c>
      <c r="E140" s="56" t="s">
        <v>17</v>
      </c>
      <c r="F140" s="55">
        <f>0.4*0.15</f>
        <v>0.06</v>
      </c>
      <c r="G140" s="149">
        <v>3.09</v>
      </c>
      <c r="H140" s="55">
        <f t="shared" si="9"/>
        <v>0.18539999999999998</v>
      </c>
    </row>
    <row r="141" spans="2:8" s="54" customFormat="1" ht="15">
      <c r="B141" s="443"/>
      <c r="C141" s="448"/>
      <c r="D141" s="53" t="s">
        <v>129</v>
      </c>
      <c r="E141" s="56" t="s">
        <v>17</v>
      </c>
      <c r="F141" s="55">
        <f>0.3*0.15</f>
        <v>4.4999999999999998E-2</v>
      </c>
      <c r="G141" s="149">
        <v>3.09</v>
      </c>
      <c r="H141" s="55">
        <f t="shared" si="9"/>
        <v>0.13904999999999998</v>
      </c>
    </row>
    <row r="142" spans="2:8" s="54" customFormat="1" ht="15">
      <c r="B142" s="443"/>
      <c r="C142" s="448"/>
      <c r="D142" s="53" t="s">
        <v>130</v>
      </c>
      <c r="E142" s="56" t="s">
        <v>17</v>
      </c>
      <c r="F142" s="55">
        <f>0.3*0.15</f>
        <v>4.4999999999999998E-2</v>
      </c>
      <c r="G142" s="149">
        <v>3.09</v>
      </c>
      <c r="H142" s="55">
        <f t="shared" si="9"/>
        <v>0.13904999999999998</v>
      </c>
    </row>
    <row r="143" spans="2:8" s="54" customFormat="1" ht="15">
      <c r="B143" s="443"/>
      <c r="C143" s="448"/>
      <c r="D143" s="53" t="s">
        <v>131</v>
      </c>
      <c r="E143" s="56" t="s">
        <v>17</v>
      </c>
      <c r="F143" s="55">
        <f>0.5*0.15</f>
        <v>7.4999999999999997E-2</v>
      </c>
      <c r="G143" s="149">
        <v>3.09</v>
      </c>
      <c r="H143" s="55">
        <f t="shared" si="9"/>
        <v>0.23174999999999998</v>
      </c>
    </row>
    <row r="144" spans="2:8" s="54" customFormat="1" ht="15">
      <c r="B144" s="443"/>
      <c r="C144" s="448"/>
      <c r="D144" s="53" t="s">
        <v>132</v>
      </c>
      <c r="E144" s="56" t="s">
        <v>17</v>
      </c>
      <c r="F144" s="55">
        <f t="shared" ref="F144:F146" si="10">0.5*0.15</f>
        <v>7.4999999999999997E-2</v>
      </c>
      <c r="G144" s="149">
        <v>3.09</v>
      </c>
      <c r="H144" s="55">
        <f t="shared" si="9"/>
        <v>0.23174999999999998</v>
      </c>
    </row>
    <row r="145" spans="2:9" s="54" customFormat="1" ht="15">
      <c r="B145" s="443"/>
      <c r="C145" s="448"/>
      <c r="D145" s="53" t="s">
        <v>133</v>
      </c>
      <c r="E145" s="56" t="s">
        <v>17</v>
      </c>
      <c r="F145" s="55">
        <f t="shared" si="10"/>
        <v>7.4999999999999997E-2</v>
      </c>
      <c r="G145" s="149">
        <v>3.09</v>
      </c>
      <c r="H145" s="55">
        <f t="shared" si="9"/>
        <v>0.23174999999999998</v>
      </c>
    </row>
    <row r="146" spans="2:9" s="54" customFormat="1" ht="15">
      <c r="B146" s="443"/>
      <c r="C146" s="448"/>
      <c r="D146" s="53" t="s">
        <v>134</v>
      </c>
      <c r="E146" s="56" t="s">
        <v>17</v>
      </c>
      <c r="F146" s="55">
        <f t="shared" si="10"/>
        <v>7.4999999999999997E-2</v>
      </c>
      <c r="G146" s="149">
        <v>3.09</v>
      </c>
      <c r="H146" s="55">
        <f t="shared" si="9"/>
        <v>0.23174999999999998</v>
      </c>
    </row>
    <row r="147" spans="2:9" s="54" customFormat="1" ht="15">
      <c r="B147" s="443"/>
      <c r="C147" s="448"/>
      <c r="D147" s="276" t="s">
        <v>135</v>
      </c>
      <c r="E147" s="56" t="s">
        <v>17</v>
      </c>
      <c r="F147" s="55">
        <f>0.3*0.15</f>
        <v>4.4999999999999998E-2</v>
      </c>
      <c r="G147" s="149">
        <v>3.09</v>
      </c>
      <c r="H147" s="206">
        <f t="shared" si="9"/>
        <v>0.13904999999999998</v>
      </c>
    </row>
    <row r="148" spans="2:9" s="54" customFormat="1" ht="15">
      <c r="B148" s="443"/>
      <c r="C148" s="448"/>
      <c r="D148" s="276" t="s">
        <v>136</v>
      </c>
      <c r="E148" s="56" t="s">
        <v>17</v>
      </c>
      <c r="F148" s="55">
        <f>0.3*0.15</f>
        <v>4.4999999999999998E-2</v>
      </c>
      <c r="G148" s="149">
        <v>3.09</v>
      </c>
      <c r="H148" s="206">
        <f t="shared" si="9"/>
        <v>0.13904999999999998</v>
      </c>
    </row>
    <row r="149" spans="2:9" s="54" customFormat="1" ht="15.75">
      <c r="B149" s="443"/>
      <c r="C149" s="448"/>
      <c r="D149" s="97" t="s">
        <v>138</v>
      </c>
      <c r="E149" s="61" t="s">
        <v>17</v>
      </c>
      <c r="F149" s="180" t="s">
        <v>121</v>
      </c>
      <c r="G149" s="180" t="s">
        <v>18</v>
      </c>
      <c r="H149" s="199">
        <f>SUM(H150)</f>
        <v>1.35</v>
      </c>
    </row>
    <row r="150" spans="2:9" s="54" customFormat="1" ht="15">
      <c r="B150" s="443"/>
      <c r="C150" s="448"/>
      <c r="D150" s="53" t="s">
        <v>139</v>
      </c>
      <c r="E150" s="56" t="s">
        <v>17</v>
      </c>
      <c r="F150" s="55">
        <f>0.3*0.15</f>
        <v>4.4999999999999998E-2</v>
      </c>
      <c r="G150" s="149">
        <v>1.2</v>
      </c>
      <c r="H150" s="507">
        <f>F150*G150*25</f>
        <v>1.35</v>
      </c>
    </row>
    <row r="151" spans="2:9" s="54" customFormat="1" ht="19.5">
      <c r="B151" s="347" t="s">
        <v>140</v>
      </c>
      <c r="C151" s="292">
        <v>60801</v>
      </c>
      <c r="D151" s="469" t="s">
        <v>141</v>
      </c>
      <c r="E151" s="61" t="s">
        <v>32</v>
      </c>
      <c r="F151" s="180" t="s">
        <v>121</v>
      </c>
      <c r="G151" s="180" t="s">
        <v>18</v>
      </c>
      <c r="H151" s="199">
        <f>H152</f>
        <v>2.2283999999999997</v>
      </c>
    </row>
    <row r="152" spans="2:9" s="54" customFormat="1" ht="15">
      <c r="B152" s="544"/>
      <c r="C152" s="545"/>
      <c r="D152" s="276" t="s">
        <v>122</v>
      </c>
      <c r="E152" s="56" t="s">
        <v>32</v>
      </c>
      <c r="F152" s="177">
        <f>0.15*0.3</f>
        <v>4.4999999999999998E-2</v>
      </c>
      <c r="G152" s="206">
        <f>21.92+4.9+22.7</f>
        <v>49.519999999999996</v>
      </c>
      <c r="H152" s="206">
        <f>G152*F152</f>
        <v>2.2283999999999997</v>
      </c>
    </row>
    <row r="153" spans="2:9" s="54" customFormat="1" ht="15.75">
      <c r="B153" s="548"/>
      <c r="C153" s="549"/>
      <c r="D153" s="445" t="s">
        <v>123</v>
      </c>
      <c r="E153" s="61" t="s">
        <v>17</v>
      </c>
      <c r="F153" s="180" t="s">
        <v>121</v>
      </c>
      <c r="G153" s="180" t="s">
        <v>18</v>
      </c>
      <c r="H153" s="199">
        <f>SUM(H154:H167)</f>
        <v>4.1137499999999996</v>
      </c>
    </row>
    <row r="154" spans="2:9" s="54" customFormat="1" ht="15">
      <c r="B154" s="548"/>
      <c r="C154" s="549"/>
      <c r="D154" s="276" t="s">
        <v>81</v>
      </c>
      <c r="E154" s="418" t="s">
        <v>17</v>
      </c>
      <c r="F154" s="149">
        <f>0.15*0.4</f>
        <v>0.06</v>
      </c>
      <c r="G154" s="177">
        <v>6.19</v>
      </c>
      <c r="H154" s="177">
        <f>F154*G154</f>
        <v>0.37140000000000001</v>
      </c>
      <c r="I154" s="531"/>
    </row>
    <row r="155" spans="2:9" s="54" customFormat="1" ht="15">
      <c r="B155" s="548"/>
      <c r="C155" s="549"/>
      <c r="D155" s="276" t="s">
        <v>82</v>
      </c>
      <c r="E155" s="418" t="s">
        <v>17</v>
      </c>
      <c r="F155" s="149">
        <f>0.15*0.5</f>
        <v>7.4999999999999997E-2</v>
      </c>
      <c r="G155" s="177">
        <v>4.7</v>
      </c>
      <c r="H155" s="177">
        <f t="shared" ref="H155:H167" si="11">F155*G155</f>
        <v>0.35249999999999998</v>
      </c>
      <c r="I155" s="531"/>
    </row>
    <row r="156" spans="2:9" s="54" customFormat="1" ht="15">
      <c r="B156" s="548"/>
      <c r="C156" s="549"/>
      <c r="D156" s="276" t="s">
        <v>83</v>
      </c>
      <c r="E156" s="418" t="s">
        <v>17</v>
      </c>
      <c r="F156" s="149">
        <f>0.15*0.3</f>
        <v>4.4999999999999998E-2</v>
      </c>
      <c r="G156" s="177">
        <v>1.7</v>
      </c>
      <c r="H156" s="177">
        <f t="shared" si="11"/>
        <v>7.6499999999999999E-2</v>
      </c>
      <c r="I156" s="531"/>
    </row>
    <row r="157" spans="2:9" s="54" customFormat="1" ht="15">
      <c r="B157" s="548"/>
      <c r="C157" s="549"/>
      <c r="D157" s="276" t="s">
        <v>84</v>
      </c>
      <c r="E157" s="418" t="s">
        <v>17</v>
      </c>
      <c r="F157" s="149">
        <f>0.15*0.3</f>
        <v>4.4999999999999998E-2</v>
      </c>
      <c r="G157" s="177">
        <v>4.63</v>
      </c>
      <c r="H157" s="177">
        <f t="shared" si="11"/>
        <v>0.20834999999999998</v>
      </c>
      <c r="I157" s="531"/>
    </row>
    <row r="158" spans="2:9" s="54" customFormat="1" ht="15">
      <c r="B158" s="548"/>
      <c r="C158" s="549"/>
      <c r="D158" s="276" t="s">
        <v>85</v>
      </c>
      <c r="E158" s="418" t="s">
        <v>17</v>
      </c>
      <c r="F158" s="149">
        <f>0.15*0.3</f>
        <v>4.4999999999999998E-2</v>
      </c>
      <c r="G158" s="177">
        <v>4.7</v>
      </c>
      <c r="H158" s="177">
        <f t="shared" si="11"/>
        <v>0.21149999999999999</v>
      </c>
      <c r="I158" s="531"/>
    </row>
    <row r="159" spans="2:9" s="54" customFormat="1" ht="15">
      <c r="B159" s="548"/>
      <c r="C159" s="549"/>
      <c r="D159" s="276" t="s">
        <v>88</v>
      </c>
      <c r="E159" s="56" t="s">
        <v>17</v>
      </c>
      <c r="F159" s="149">
        <f t="shared" ref="F159:F161" si="12">0.15*0.3</f>
        <v>4.4999999999999998E-2</v>
      </c>
      <c r="G159" s="177">
        <v>2.4500000000000002</v>
      </c>
      <c r="H159" s="177">
        <f t="shared" si="11"/>
        <v>0.11025</v>
      </c>
      <c r="I159" s="531"/>
    </row>
    <row r="160" spans="2:9" s="54" customFormat="1" ht="15">
      <c r="B160" s="548"/>
      <c r="C160" s="549"/>
      <c r="D160" s="276" t="s">
        <v>89</v>
      </c>
      <c r="E160" s="56" t="s">
        <v>17</v>
      </c>
      <c r="F160" s="149">
        <f t="shared" si="12"/>
        <v>4.4999999999999998E-2</v>
      </c>
      <c r="G160" s="177">
        <v>2.4500000000000002</v>
      </c>
      <c r="H160" s="177">
        <f t="shared" si="11"/>
        <v>0.11025</v>
      </c>
      <c r="I160" s="531"/>
    </row>
    <row r="161" spans="2:9" s="54" customFormat="1" ht="15">
      <c r="B161" s="548"/>
      <c r="C161" s="549"/>
      <c r="D161" s="276" t="s">
        <v>92</v>
      </c>
      <c r="E161" s="56" t="s">
        <v>17</v>
      </c>
      <c r="F161" s="149">
        <f t="shared" si="12"/>
        <v>4.4999999999999998E-2</v>
      </c>
      <c r="G161" s="177">
        <v>4.7</v>
      </c>
      <c r="H161" s="177">
        <f t="shared" si="11"/>
        <v>0.21149999999999999</v>
      </c>
      <c r="I161" s="531"/>
    </row>
    <row r="162" spans="2:9" s="54" customFormat="1" ht="15">
      <c r="B162" s="548"/>
      <c r="C162" s="549"/>
      <c r="D162" s="276" t="s">
        <v>93</v>
      </c>
      <c r="E162" s="56" t="s">
        <v>17</v>
      </c>
      <c r="F162" s="149">
        <f>0.15*0.9</f>
        <v>0.13500000000000001</v>
      </c>
      <c r="G162" s="177">
        <v>7</v>
      </c>
      <c r="H162" s="177">
        <f t="shared" si="11"/>
        <v>0.94500000000000006</v>
      </c>
      <c r="I162" s="531"/>
    </row>
    <row r="163" spans="2:9" s="54" customFormat="1" ht="15">
      <c r="B163" s="548"/>
      <c r="C163" s="549"/>
      <c r="D163" s="276" t="s">
        <v>94</v>
      </c>
      <c r="E163" s="56" t="s">
        <v>17</v>
      </c>
      <c r="F163" s="149">
        <f>0.15*0.9</f>
        <v>0.13500000000000001</v>
      </c>
      <c r="G163" s="177">
        <v>7</v>
      </c>
      <c r="H163" s="177">
        <f t="shared" si="11"/>
        <v>0.94500000000000006</v>
      </c>
      <c r="I163" s="531"/>
    </row>
    <row r="164" spans="2:9" s="54" customFormat="1" ht="15">
      <c r="B164" s="548"/>
      <c r="C164" s="549"/>
      <c r="D164" s="276" t="s">
        <v>95</v>
      </c>
      <c r="E164" s="56" t="s">
        <v>17</v>
      </c>
      <c r="F164" s="149">
        <f>0.15*0.3</f>
        <v>4.4999999999999998E-2</v>
      </c>
      <c r="G164" s="177">
        <v>4</v>
      </c>
      <c r="H164" s="177">
        <f t="shared" si="11"/>
        <v>0.18</v>
      </c>
      <c r="I164" s="531"/>
    </row>
    <row r="165" spans="2:9" s="54" customFormat="1" ht="15">
      <c r="B165" s="548"/>
      <c r="C165" s="549"/>
      <c r="D165" s="276" t="s">
        <v>97</v>
      </c>
      <c r="E165" s="56" t="s">
        <v>17</v>
      </c>
      <c r="F165" s="149">
        <f>0.15*0.3</f>
        <v>4.4999999999999998E-2</v>
      </c>
      <c r="G165" s="177">
        <v>2.95</v>
      </c>
      <c r="H165" s="177">
        <f t="shared" si="11"/>
        <v>0.13275000000000001</v>
      </c>
      <c r="I165" s="531"/>
    </row>
    <row r="166" spans="2:9" s="54" customFormat="1" ht="15">
      <c r="B166" s="548"/>
      <c r="C166" s="549"/>
      <c r="D166" s="276" t="s">
        <v>98</v>
      </c>
      <c r="E166" s="56" t="s">
        <v>17</v>
      </c>
      <c r="F166" s="149">
        <f>0.15*0.3</f>
        <v>4.4999999999999998E-2</v>
      </c>
      <c r="G166" s="177">
        <v>3.9</v>
      </c>
      <c r="H166" s="177">
        <f t="shared" si="11"/>
        <v>0.17549999999999999</v>
      </c>
      <c r="I166" s="531"/>
    </row>
    <row r="167" spans="2:9" s="54" customFormat="1" ht="15">
      <c r="B167" s="548"/>
      <c r="C167" s="549"/>
      <c r="D167" s="276" t="s">
        <v>99</v>
      </c>
      <c r="E167" s="56" t="s">
        <v>17</v>
      </c>
      <c r="F167" s="149">
        <f>0.15*0.3</f>
        <v>4.4999999999999998E-2</v>
      </c>
      <c r="G167" s="177">
        <v>1.85</v>
      </c>
      <c r="H167" s="177">
        <f t="shared" si="11"/>
        <v>8.3250000000000005E-2</v>
      </c>
      <c r="I167" s="531"/>
    </row>
    <row r="168" spans="2:9" s="54" customFormat="1" ht="15.75">
      <c r="B168" s="548"/>
      <c r="C168" s="549"/>
      <c r="D168" s="449" t="s">
        <v>104</v>
      </c>
      <c r="E168" s="450"/>
      <c r="F168" s="451"/>
      <c r="G168" s="451"/>
      <c r="H168" s="428"/>
    </row>
    <row r="169" spans="2:9" s="54" customFormat="1" ht="15.75">
      <c r="B169" s="548"/>
      <c r="C169" s="549"/>
      <c r="D169" s="97" t="s">
        <v>142</v>
      </c>
      <c r="E169" s="61" t="s">
        <v>17</v>
      </c>
      <c r="F169" s="180" t="s">
        <v>121</v>
      </c>
      <c r="G169" s="180" t="s">
        <v>18</v>
      </c>
      <c r="H169" s="199">
        <f>SUM(H170:H180)</f>
        <v>0.2848</v>
      </c>
    </row>
    <row r="170" spans="2:9" s="54" customFormat="1" ht="15">
      <c r="B170" s="548"/>
      <c r="C170" s="549"/>
      <c r="D170" s="53" t="s">
        <v>126</v>
      </c>
      <c r="E170" s="56" t="s">
        <v>17</v>
      </c>
      <c r="F170" s="55">
        <f>0.4*0.28</f>
        <v>0.11200000000000002</v>
      </c>
      <c r="G170" s="149">
        <v>0.4</v>
      </c>
      <c r="H170" s="55">
        <f>F170*G170</f>
        <v>4.4800000000000006E-2</v>
      </c>
    </row>
    <row r="171" spans="2:9" s="54" customFormat="1" ht="15">
      <c r="B171" s="548"/>
      <c r="C171" s="549"/>
      <c r="D171" s="53" t="s">
        <v>127</v>
      </c>
      <c r="E171" s="56" t="s">
        <v>17</v>
      </c>
      <c r="F171" s="55">
        <f>0.4*0.15</f>
        <v>0.06</v>
      </c>
      <c r="G171" s="149">
        <v>0.4</v>
      </c>
      <c r="H171" s="55">
        <f t="shared" ref="H171:H180" si="13">F171*G171</f>
        <v>2.4E-2</v>
      </c>
    </row>
    <row r="172" spans="2:9" s="54" customFormat="1" ht="15">
      <c r="B172" s="548"/>
      <c r="C172" s="549"/>
      <c r="D172" s="53" t="s">
        <v>128</v>
      </c>
      <c r="E172" s="56" t="s">
        <v>17</v>
      </c>
      <c r="F172" s="55">
        <f>0.4*0.15</f>
        <v>0.06</v>
      </c>
      <c r="G172" s="149">
        <v>0.4</v>
      </c>
      <c r="H172" s="55">
        <f t="shared" si="13"/>
        <v>2.4E-2</v>
      </c>
    </row>
    <row r="173" spans="2:9" s="54" customFormat="1" ht="15">
      <c r="B173" s="548"/>
      <c r="C173" s="549"/>
      <c r="D173" s="53" t="s">
        <v>129</v>
      </c>
      <c r="E173" s="56" t="s">
        <v>17</v>
      </c>
      <c r="F173" s="55">
        <f>0.3*0.15</f>
        <v>4.4999999999999998E-2</v>
      </c>
      <c r="G173" s="149">
        <v>0.4</v>
      </c>
      <c r="H173" s="55">
        <f t="shared" si="13"/>
        <v>1.7999999999999999E-2</v>
      </c>
    </row>
    <row r="174" spans="2:9" s="54" customFormat="1" ht="15">
      <c r="B174" s="548"/>
      <c r="C174" s="549"/>
      <c r="D174" s="53" t="s">
        <v>130</v>
      </c>
      <c r="E174" s="56" t="s">
        <v>17</v>
      </c>
      <c r="F174" s="55">
        <f>0.3*0.15</f>
        <v>4.4999999999999998E-2</v>
      </c>
      <c r="G174" s="149">
        <v>0.4</v>
      </c>
      <c r="H174" s="55">
        <f t="shared" si="13"/>
        <v>1.7999999999999999E-2</v>
      </c>
    </row>
    <row r="175" spans="2:9" s="54" customFormat="1" ht="15">
      <c r="B175" s="548"/>
      <c r="C175" s="549"/>
      <c r="D175" s="53" t="s">
        <v>131</v>
      </c>
      <c r="E175" s="56" t="s">
        <v>17</v>
      </c>
      <c r="F175" s="55">
        <f>0.5*0.15</f>
        <v>7.4999999999999997E-2</v>
      </c>
      <c r="G175" s="149">
        <v>0.4</v>
      </c>
      <c r="H175" s="55">
        <f t="shared" si="13"/>
        <v>0.03</v>
      </c>
    </row>
    <row r="176" spans="2:9" s="54" customFormat="1" ht="15">
      <c r="B176" s="548"/>
      <c r="C176" s="549"/>
      <c r="D176" s="53" t="s">
        <v>132</v>
      </c>
      <c r="E176" s="56" t="s">
        <v>17</v>
      </c>
      <c r="F176" s="55">
        <f t="shared" ref="F176:F178" si="14">0.5*0.15</f>
        <v>7.4999999999999997E-2</v>
      </c>
      <c r="G176" s="149">
        <v>0.4</v>
      </c>
      <c r="H176" s="55">
        <f t="shared" si="13"/>
        <v>0.03</v>
      </c>
    </row>
    <row r="177" spans="2:8" s="54" customFormat="1" ht="15">
      <c r="B177" s="548"/>
      <c r="C177" s="549"/>
      <c r="D177" s="53" t="s">
        <v>133</v>
      </c>
      <c r="E177" s="56" t="s">
        <v>17</v>
      </c>
      <c r="F177" s="55">
        <f t="shared" si="14"/>
        <v>7.4999999999999997E-2</v>
      </c>
      <c r="G177" s="149">
        <v>0.4</v>
      </c>
      <c r="H177" s="55">
        <f t="shared" si="13"/>
        <v>0.03</v>
      </c>
    </row>
    <row r="178" spans="2:8" s="54" customFormat="1" ht="15">
      <c r="B178" s="548"/>
      <c r="C178" s="549"/>
      <c r="D178" s="53" t="s">
        <v>134</v>
      </c>
      <c r="E178" s="56" t="s">
        <v>17</v>
      </c>
      <c r="F178" s="55">
        <f t="shared" si="14"/>
        <v>7.4999999999999997E-2</v>
      </c>
      <c r="G178" s="149">
        <v>0.4</v>
      </c>
      <c r="H178" s="55">
        <f t="shared" si="13"/>
        <v>0.03</v>
      </c>
    </row>
    <row r="179" spans="2:8" s="54" customFormat="1" ht="15">
      <c r="B179" s="548"/>
      <c r="C179" s="549"/>
      <c r="D179" s="276" t="s">
        <v>135</v>
      </c>
      <c r="E179" s="56" t="s">
        <v>17</v>
      </c>
      <c r="F179" s="55">
        <f>0.3*0.15</f>
        <v>4.4999999999999998E-2</v>
      </c>
      <c r="G179" s="149">
        <v>0.4</v>
      </c>
      <c r="H179" s="206">
        <f t="shared" si="13"/>
        <v>1.7999999999999999E-2</v>
      </c>
    </row>
    <row r="180" spans="2:8" s="54" customFormat="1" ht="15">
      <c r="B180" s="548"/>
      <c r="C180" s="549"/>
      <c r="D180" s="276" t="s">
        <v>136</v>
      </c>
      <c r="E180" s="56" t="s">
        <v>17</v>
      </c>
      <c r="F180" s="55">
        <f>0.3*0.15</f>
        <v>4.4999999999999998E-2</v>
      </c>
      <c r="G180" s="149">
        <v>0.4</v>
      </c>
      <c r="H180" s="206">
        <f t="shared" si="13"/>
        <v>1.7999999999999999E-2</v>
      </c>
    </row>
    <row r="181" spans="2:8" s="54" customFormat="1" ht="15.75">
      <c r="B181" s="548"/>
      <c r="C181" s="549"/>
      <c r="D181" s="97" t="s">
        <v>143</v>
      </c>
      <c r="E181" s="61" t="s">
        <v>17</v>
      </c>
      <c r="F181" s="180" t="s">
        <v>121</v>
      </c>
      <c r="G181" s="180" t="s">
        <v>18</v>
      </c>
      <c r="H181" s="199">
        <f>SUM(H182:H192)</f>
        <v>2.2000799999999998</v>
      </c>
    </row>
    <row r="182" spans="2:8" s="54" customFormat="1" ht="15">
      <c r="B182" s="548"/>
      <c r="C182" s="549"/>
      <c r="D182" s="53" t="s">
        <v>126</v>
      </c>
      <c r="E182" s="56" t="s">
        <v>17</v>
      </c>
      <c r="F182" s="55">
        <f>0.4*0.28</f>
        <v>0.11200000000000002</v>
      </c>
      <c r="G182" s="149">
        <v>3.09</v>
      </c>
      <c r="H182" s="55">
        <f>F182*G182</f>
        <v>0.34608000000000005</v>
      </c>
    </row>
    <row r="183" spans="2:8" s="54" customFormat="1" ht="15">
      <c r="B183" s="548"/>
      <c r="C183" s="549"/>
      <c r="D183" s="53" t="s">
        <v>127</v>
      </c>
      <c r="E183" s="56" t="s">
        <v>17</v>
      </c>
      <c r="F183" s="55">
        <f>0.4*0.15</f>
        <v>0.06</v>
      </c>
      <c r="G183" s="149">
        <v>3.09</v>
      </c>
      <c r="H183" s="55">
        <f t="shared" ref="H183:H192" si="15">F183*G183</f>
        <v>0.18539999999999998</v>
      </c>
    </row>
    <row r="184" spans="2:8" s="54" customFormat="1" ht="15">
      <c r="B184" s="548"/>
      <c r="C184" s="549"/>
      <c r="D184" s="53" t="s">
        <v>128</v>
      </c>
      <c r="E184" s="56" t="s">
        <v>17</v>
      </c>
      <c r="F184" s="55">
        <f>0.4*0.15</f>
        <v>0.06</v>
      </c>
      <c r="G184" s="149">
        <v>3.09</v>
      </c>
      <c r="H184" s="55">
        <f t="shared" si="15"/>
        <v>0.18539999999999998</v>
      </c>
    </row>
    <row r="185" spans="2:8" s="54" customFormat="1" ht="15">
      <c r="B185" s="548"/>
      <c r="C185" s="549"/>
      <c r="D185" s="53" t="s">
        <v>129</v>
      </c>
      <c r="E185" s="56" t="s">
        <v>17</v>
      </c>
      <c r="F185" s="55">
        <f>0.3*0.15</f>
        <v>4.4999999999999998E-2</v>
      </c>
      <c r="G185" s="149">
        <v>3.09</v>
      </c>
      <c r="H185" s="55">
        <f t="shared" si="15"/>
        <v>0.13904999999999998</v>
      </c>
    </row>
    <row r="186" spans="2:8" s="54" customFormat="1" ht="15">
      <c r="B186" s="548"/>
      <c r="C186" s="549"/>
      <c r="D186" s="53" t="s">
        <v>130</v>
      </c>
      <c r="E186" s="56" t="s">
        <v>17</v>
      </c>
      <c r="F186" s="55">
        <f>0.3*0.15</f>
        <v>4.4999999999999998E-2</v>
      </c>
      <c r="G186" s="149">
        <v>3.09</v>
      </c>
      <c r="H186" s="55">
        <f t="shared" si="15"/>
        <v>0.13904999999999998</v>
      </c>
    </row>
    <row r="187" spans="2:8" s="54" customFormat="1" ht="15">
      <c r="B187" s="548"/>
      <c r="C187" s="549"/>
      <c r="D187" s="53" t="s">
        <v>131</v>
      </c>
      <c r="E187" s="56" t="s">
        <v>17</v>
      </c>
      <c r="F187" s="55">
        <f>0.5*0.15</f>
        <v>7.4999999999999997E-2</v>
      </c>
      <c r="G187" s="149">
        <v>3.09</v>
      </c>
      <c r="H187" s="55">
        <f t="shared" si="15"/>
        <v>0.23174999999999998</v>
      </c>
    </row>
    <row r="188" spans="2:8" s="54" customFormat="1" ht="15">
      <c r="B188" s="548"/>
      <c r="C188" s="549"/>
      <c r="D188" s="53" t="s">
        <v>132</v>
      </c>
      <c r="E188" s="56" t="s">
        <v>17</v>
      </c>
      <c r="F188" s="55">
        <f t="shared" ref="F188:F190" si="16">0.5*0.15</f>
        <v>7.4999999999999997E-2</v>
      </c>
      <c r="G188" s="149">
        <v>3.09</v>
      </c>
      <c r="H188" s="55">
        <f t="shared" si="15"/>
        <v>0.23174999999999998</v>
      </c>
    </row>
    <row r="189" spans="2:8" s="54" customFormat="1" ht="15">
      <c r="B189" s="548"/>
      <c r="C189" s="549"/>
      <c r="D189" s="53" t="s">
        <v>133</v>
      </c>
      <c r="E189" s="56" t="s">
        <v>17</v>
      </c>
      <c r="F189" s="55">
        <f t="shared" si="16"/>
        <v>7.4999999999999997E-2</v>
      </c>
      <c r="G189" s="149">
        <v>3.09</v>
      </c>
      <c r="H189" s="55">
        <f t="shared" si="15"/>
        <v>0.23174999999999998</v>
      </c>
    </row>
    <row r="190" spans="2:8" s="54" customFormat="1" ht="15">
      <c r="B190" s="548"/>
      <c r="C190" s="549"/>
      <c r="D190" s="53" t="s">
        <v>134</v>
      </c>
      <c r="E190" s="56" t="s">
        <v>17</v>
      </c>
      <c r="F190" s="55">
        <f t="shared" si="16"/>
        <v>7.4999999999999997E-2</v>
      </c>
      <c r="G190" s="149">
        <v>3.09</v>
      </c>
      <c r="H190" s="55">
        <f t="shared" si="15"/>
        <v>0.23174999999999998</v>
      </c>
    </row>
    <row r="191" spans="2:8" s="54" customFormat="1" ht="15">
      <c r="B191" s="443"/>
      <c r="C191" s="448"/>
      <c r="D191" s="276" t="s">
        <v>135</v>
      </c>
      <c r="E191" s="56" t="s">
        <v>17</v>
      </c>
      <c r="F191" s="55">
        <f>0.3*0.15</f>
        <v>4.4999999999999998E-2</v>
      </c>
      <c r="G191" s="149">
        <v>3.09</v>
      </c>
      <c r="H191" s="206">
        <f t="shared" si="15"/>
        <v>0.13904999999999998</v>
      </c>
    </row>
    <row r="192" spans="2:8" s="54" customFormat="1" ht="15">
      <c r="B192" s="443"/>
      <c r="C192" s="448"/>
      <c r="D192" s="276" t="s">
        <v>136</v>
      </c>
      <c r="E192" s="56" t="s">
        <v>17</v>
      </c>
      <c r="F192" s="55">
        <f>0.3*0.15</f>
        <v>4.4999999999999998E-2</v>
      </c>
      <c r="G192" s="149">
        <v>3.09</v>
      </c>
      <c r="H192" s="206">
        <f t="shared" si="15"/>
        <v>0.13904999999999998</v>
      </c>
    </row>
    <row r="193" spans="2:9" s="54" customFormat="1" ht="15.75">
      <c r="B193" s="443"/>
      <c r="C193" s="448"/>
      <c r="D193" s="97" t="s">
        <v>138</v>
      </c>
      <c r="E193" s="61" t="s">
        <v>17</v>
      </c>
      <c r="F193" s="180" t="s">
        <v>121</v>
      </c>
      <c r="G193" s="180" t="s">
        <v>18</v>
      </c>
      <c r="H193" s="199">
        <f>H194</f>
        <v>1.35</v>
      </c>
    </row>
    <row r="194" spans="2:9" s="54" customFormat="1" ht="15">
      <c r="B194" s="443"/>
      <c r="C194" s="448"/>
      <c r="D194" s="53" t="s">
        <v>139</v>
      </c>
      <c r="E194" s="56" t="s">
        <v>17</v>
      </c>
      <c r="F194" s="55">
        <f>0.3*0.15</f>
        <v>4.4999999999999998E-2</v>
      </c>
      <c r="G194" s="149">
        <v>1.2</v>
      </c>
      <c r="H194" s="200">
        <f>F194*G194*25</f>
        <v>1.35</v>
      </c>
    </row>
    <row r="195" spans="2:9" s="54" customFormat="1" ht="15.6" customHeight="1">
      <c r="B195" s="347" t="s">
        <v>144</v>
      </c>
      <c r="C195" s="292">
        <v>60209</v>
      </c>
      <c r="D195" s="469" t="s">
        <v>145</v>
      </c>
      <c r="E195" s="61" t="s">
        <v>17</v>
      </c>
      <c r="F195" s="180" t="s">
        <v>18</v>
      </c>
      <c r="G195" s="180" t="s">
        <v>35</v>
      </c>
      <c r="H195" s="199">
        <f>SUM(H196:H215)</f>
        <v>81.879999999999967</v>
      </c>
    </row>
    <row r="196" spans="2:9" s="54" customFormat="1" ht="15">
      <c r="B196" s="544"/>
      <c r="C196" s="545"/>
      <c r="D196" s="276" t="s">
        <v>146</v>
      </c>
      <c r="E196" s="56" t="s">
        <v>17</v>
      </c>
      <c r="F196" s="177">
        <f>6.7+4.7+4.7+1.7+4.7</f>
        <v>22.5</v>
      </c>
      <c r="G196" s="177">
        <v>0.3</v>
      </c>
      <c r="H196" s="206">
        <f>G196*F196*2</f>
        <v>13.5</v>
      </c>
    </row>
    <row r="197" spans="2:9" s="54" customFormat="1" ht="15">
      <c r="B197" s="548"/>
      <c r="C197" s="549"/>
      <c r="D197" s="54" t="s">
        <v>147</v>
      </c>
      <c r="E197" s="56" t="s">
        <v>17</v>
      </c>
      <c r="F197" s="177">
        <f>2.45+2.6+4.7</f>
        <v>9.75</v>
      </c>
      <c r="G197" s="177">
        <v>0.3</v>
      </c>
      <c r="H197" s="206">
        <f t="shared" ref="H197:H199" si="17">G197*F197*2</f>
        <v>5.85</v>
      </c>
    </row>
    <row r="198" spans="2:9" s="54" customFormat="1" ht="15">
      <c r="B198" s="548"/>
      <c r="C198" s="549"/>
      <c r="D198" s="276" t="s">
        <v>148</v>
      </c>
      <c r="E198" s="56" t="s">
        <v>17</v>
      </c>
      <c r="F198" s="177">
        <f>6.7+6.7+4</f>
        <v>17.399999999999999</v>
      </c>
      <c r="G198" s="177">
        <v>0.3</v>
      </c>
      <c r="H198" s="206">
        <f t="shared" si="17"/>
        <v>10.44</v>
      </c>
    </row>
    <row r="199" spans="2:9" s="54" customFormat="1" ht="15">
      <c r="B199" s="443"/>
      <c r="C199" s="448"/>
      <c r="D199" s="276" t="s">
        <v>149</v>
      </c>
      <c r="E199" s="56" t="s">
        <v>17</v>
      </c>
      <c r="F199" s="512">
        <f>6.2+1.7</f>
        <v>7.9</v>
      </c>
      <c r="G199" s="177">
        <v>0.3</v>
      </c>
      <c r="H199" s="206">
        <f t="shared" si="17"/>
        <v>4.74</v>
      </c>
    </row>
    <row r="200" spans="2:9" s="54" customFormat="1" ht="15">
      <c r="B200" s="443"/>
      <c r="C200" s="448"/>
      <c r="D200" s="276" t="s">
        <v>150</v>
      </c>
      <c r="E200" s="56" t="s">
        <v>17</v>
      </c>
      <c r="F200" s="177">
        <f>6.7+4.7+4.7+1.7+4.7</f>
        <v>22.5</v>
      </c>
      <c r="G200" s="177">
        <v>0.3</v>
      </c>
      <c r="H200" s="206">
        <f>G200*F200*2</f>
        <v>13.5</v>
      </c>
    </row>
    <row r="201" spans="2:9" s="54" customFormat="1" ht="15">
      <c r="B201" s="443"/>
      <c r="C201" s="448"/>
      <c r="D201" s="53" t="s">
        <v>151</v>
      </c>
      <c r="E201" s="56" t="s">
        <v>17</v>
      </c>
      <c r="F201" s="177">
        <f>2.45+2.6+4.7</f>
        <v>9.75</v>
      </c>
      <c r="G201" s="177">
        <v>0.3</v>
      </c>
      <c r="H201" s="206">
        <f t="shared" ref="H201:H202" si="18">G201*F201*2</f>
        <v>5.85</v>
      </c>
    </row>
    <row r="202" spans="2:9" s="54" customFormat="1" ht="15">
      <c r="B202" s="443"/>
      <c r="C202" s="448"/>
      <c r="D202" s="276" t="s">
        <v>152</v>
      </c>
      <c r="E202" s="56" t="s">
        <v>17</v>
      </c>
      <c r="F202" s="177">
        <f>6.7+6.7+4</f>
        <v>17.399999999999999</v>
      </c>
      <c r="G202" s="177">
        <v>0.3</v>
      </c>
      <c r="H202" s="206">
        <f t="shared" si="18"/>
        <v>10.44</v>
      </c>
    </row>
    <row r="203" spans="2:9" s="54" customFormat="1" ht="15">
      <c r="B203" s="443"/>
      <c r="C203" s="448"/>
      <c r="D203" s="276" t="s">
        <v>153</v>
      </c>
      <c r="E203" s="56" t="s">
        <v>17</v>
      </c>
      <c r="F203" s="512">
        <f>6.2+1.7</f>
        <v>7.9</v>
      </c>
      <c r="G203" s="177">
        <v>0.3</v>
      </c>
      <c r="H203" s="206">
        <f>G203*F203*2</f>
        <v>4.74</v>
      </c>
    </row>
    <row r="204" spans="2:9" s="54" customFormat="1" ht="15">
      <c r="B204" s="443"/>
      <c r="C204" s="448"/>
      <c r="D204" s="53" t="s">
        <v>126</v>
      </c>
      <c r="E204" s="56" t="s">
        <v>17</v>
      </c>
      <c r="F204" s="512">
        <v>3.5</v>
      </c>
      <c r="G204" s="177">
        <v>0.28000000000000003</v>
      </c>
      <c r="H204" s="206">
        <f t="shared" ref="H204:H215" si="19">G204*F204*2</f>
        <v>1.9600000000000002</v>
      </c>
    </row>
    <row r="205" spans="2:9" s="54" customFormat="1" ht="15">
      <c r="B205" s="443"/>
      <c r="C205" s="448"/>
      <c r="D205" s="53" t="s">
        <v>127</v>
      </c>
      <c r="E205" s="56" t="s">
        <v>17</v>
      </c>
      <c r="F205" s="512">
        <v>3.5</v>
      </c>
      <c r="G205" s="177">
        <v>0.15</v>
      </c>
      <c r="H205" s="206">
        <f t="shared" si="19"/>
        <v>1.05</v>
      </c>
    </row>
    <row r="206" spans="2:9" s="54" customFormat="1" ht="15">
      <c r="B206" s="443"/>
      <c r="C206" s="448"/>
      <c r="D206" s="53" t="s">
        <v>128</v>
      </c>
      <c r="E206" s="56" t="s">
        <v>17</v>
      </c>
      <c r="F206" s="512">
        <v>3.5</v>
      </c>
      <c r="G206" s="177">
        <v>0.15</v>
      </c>
      <c r="H206" s="206">
        <f t="shared" si="19"/>
        <v>1.05</v>
      </c>
    </row>
    <row r="207" spans="2:9" s="54" customFormat="1" ht="15">
      <c r="B207" s="443"/>
      <c r="C207" s="448"/>
      <c r="D207" s="53" t="s">
        <v>129</v>
      </c>
      <c r="E207" s="56" t="s">
        <v>17</v>
      </c>
      <c r="F207" s="512">
        <v>3.5</v>
      </c>
      <c r="G207" s="177">
        <v>0.15</v>
      </c>
      <c r="H207" s="206">
        <f t="shared" si="19"/>
        <v>1.05</v>
      </c>
    </row>
    <row r="208" spans="2:9" s="54" customFormat="1" ht="15">
      <c r="B208" s="443"/>
      <c r="C208" s="448"/>
      <c r="D208" s="53" t="s">
        <v>130</v>
      </c>
      <c r="E208" s="56" t="s">
        <v>17</v>
      </c>
      <c r="F208" s="512">
        <v>3.5</v>
      </c>
      <c r="G208" s="177">
        <v>0.15</v>
      </c>
      <c r="H208" s="206">
        <f t="shared" si="19"/>
        <v>1.05</v>
      </c>
    </row>
    <row r="209" spans="2:8" s="54" customFormat="1" ht="15">
      <c r="B209" s="443"/>
      <c r="C209" s="448"/>
      <c r="D209" s="53" t="s">
        <v>131</v>
      </c>
      <c r="E209" s="56" t="s">
        <v>17</v>
      </c>
      <c r="F209" s="512">
        <v>3.5</v>
      </c>
      <c r="G209" s="177">
        <v>0.15</v>
      </c>
      <c r="H209" s="206">
        <f t="shared" si="19"/>
        <v>1.05</v>
      </c>
    </row>
    <row r="210" spans="2:8" s="54" customFormat="1" ht="15">
      <c r="B210" s="443"/>
      <c r="C210" s="448"/>
      <c r="D210" s="53" t="s">
        <v>132</v>
      </c>
      <c r="E210" s="56" t="s">
        <v>17</v>
      </c>
      <c r="F210" s="512">
        <v>3.5</v>
      </c>
      <c r="G210" s="177">
        <v>0.15</v>
      </c>
      <c r="H210" s="206">
        <f t="shared" si="19"/>
        <v>1.05</v>
      </c>
    </row>
    <row r="211" spans="2:8" s="54" customFormat="1" ht="15">
      <c r="B211" s="443"/>
      <c r="C211" s="448"/>
      <c r="D211" s="53" t="s">
        <v>133</v>
      </c>
      <c r="E211" s="56" t="s">
        <v>17</v>
      </c>
      <c r="F211" s="512">
        <v>3.5</v>
      </c>
      <c r="G211" s="177">
        <v>0.15</v>
      </c>
      <c r="H211" s="206">
        <f t="shared" si="19"/>
        <v>1.05</v>
      </c>
    </row>
    <row r="212" spans="2:8" s="54" customFormat="1" ht="15">
      <c r="B212" s="443"/>
      <c r="C212" s="448"/>
      <c r="D212" s="53" t="s">
        <v>134</v>
      </c>
      <c r="E212" s="56" t="s">
        <v>17</v>
      </c>
      <c r="F212" s="512">
        <v>3.5</v>
      </c>
      <c r="G212" s="177">
        <v>0.15</v>
      </c>
      <c r="H212" s="206">
        <f t="shared" si="19"/>
        <v>1.05</v>
      </c>
    </row>
    <row r="213" spans="2:8" s="54" customFormat="1" ht="15">
      <c r="B213" s="443"/>
      <c r="C213" s="448"/>
      <c r="D213" s="276" t="s">
        <v>135</v>
      </c>
      <c r="E213" s="56" t="s">
        <v>17</v>
      </c>
      <c r="F213" s="512">
        <v>3.5</v>
      </c>
      <c r="G213" s="177">
        <v>0.15</v>
      </c>
      <c r="H213" s="206">
        <f t="shared" si="19"/>
        <v>1.05</v>
      </c>
    </row>
    <row r="214" spans="2:8" s="54" customFormat="1" ht="15">
      <c r="B214" s="443"/>
      <c r="C214" s="448"/>
      <c r="D214" s="276" t="s">
        <v>136</v>
      </c>
      <c r="E214" s="56" t="s">
        <v>17</v>
      </c>
      <c r="F214" s="512">
        <v>3.5</v>
      </c>
      <c r="G214" s="177">
        <v>0.15</v>
      </c>
      <c r="H214" s="206">
        <f t="shared" si="19"/>
        <v>1.05</v>
      </c>
    </row>
    <row r="215" spans="2:8" s="54" customFormat="1" ht="15">
      <c r="B215" s="443"/>
      <c r="C215" s="448"/>
      <c r="D215" s="53" t="s">
        <v>139</v>
      </c>
      <c r="E215" s="56" t="s">
        <v>17</v>
      </c>
      <c r="F215" s="512">
        <v>1.2</v>
      </c>
      <c r="G215" s="177">
        <v>0.15</v>
      </c>
      <c r="H215" s="206">
        <f t="shared" si="19"/>
        <v>0.36</v>
      </c>
    </row>
    <row r="216" spans="2:8" s="54" customFormat="1" ht="19.5">
      <c r="B216" s="347" t="s">
        <v>154</v>
      </c>
      <c r="C216" s="292" t="s">
        <v>155</v>
      </c>
      <c r="D216" s="534" t="s">
        <v>156</v>
      </c>
      <c r="E216" s="259" t="s">
        <v>17</v>
      </c>
      <c r="F216" s="272" t="s">
        <v>18</v>
      </c>
      <c r="G216" s="180" t="s">
        <v>19</v>
      </c>
      <c r="H216" s="199">
        <f>SUM(H217:H220)</f>
        <v>86.454000000000008</v>
      </c>
    </row>
    <row r="217" spans="2:8" s="54" customFormat="1" ht="15">
      <c r="B217" s="594"/>
      <c r="C217" s="541"/>
      <c r="D217" s="276" t="s">
        <v>157</v>
      </c>
      <c r="E217" s="316" t="s">
        <v>17</v>
      </c>
      <c r="F217" s="274">
        <v>6.7</v>
      </c>
      <c r="G217" s="274">
        <v>4.7</v>
      </c>
      <c r="H217" s="268">
        <f>F217*G217</f>
        <v>31.490000000000002</v>
      </c>
    </row>
    <row r="218" spans="2:8" s="54" customFormat="1" ht="15">
      <c r="B218" s="595"/>
      <c r="C218" s="543"/>
      <c r="D218" s="276" t="s">
        <v>158</v>
      </c>
      <c r="E218" s="56" t="s">
        <v>17</v>
      </c>
      <c r="F218" s="274">
        <v>4.7</v>
      </c>
      <c r="G218" s="274">
        <v>6.7</v>
      </c>
      <c r="H218" s="268">
        <f t="shared" ref="H218:H220" si="20">F218*G218</f>
        <v>31.490000000000002</v>
      </c>
    </row>
    <row r="219" spans="2:8" s="54" customFormat="1" ht="15">
      <c r="B219" s="595"/>
      <c r="C219" s="543"/>
      <c r="D219" s="276" t="s">
        <v>159</v>
      </c>
      <c r="E219" s="56" t="s">
        <v>17</v>
      </c>
      <c r="F219" s="457">
        <v>4.7</v>
      </c>
      <c r="G219" s="274">
        <v>2.6</v>
      </c>
      <c r="H219" s="268">
        <f t="shared" si="20"/>
        <v>12.22</v>
      </c>
    </row>
    <row r="220" spans="2:8" s="54" customFormat="1" ht="15.75">
      <c r="B220" s="510"/>
      <c r="C220" s="511"/>
      <c r="D220" s="513" t="s">
        <v>160</v>
      </c>
      <c r="E220" s="514" t="s">
        <v>17</v>
      </c>
      <c r="F220" s="515">
        <v>6.62</v>
      </c>
      <c r="G220" s="516">
        <v>1.7</v>
      </c>
      <c r="H220" s="268">
        <f t="shared" si="20"/>
        <v>11.254</v>
      </c>
    </row>
    <row r="221" spans="2:8" s="54" customFormat="1" ht="19.5">
      <c r="B221" s="347" t="s">
        <v>161</v>
      </c>
      <c r="C221" s="292" t="s">
        <v>162</v>
      </c>
      <c r="D221" s="474" t="s">
        <v>163</v>
      </c>
      <c r="E221" s="61" t="s">
        <v>32</v>
      </c>
      <c r="F221" s="272" t="s">
        <v>121</v>
      </c>
      <c r="G221" s="272" t="s">
        <v>35</v>
      </c>
      <c r="H221" s="458">
        <f>SUM(H222)</f>
        <v>0.28800000000000003</v>
      </c>
    </row>
    <row r="222" spans="2:8" s="54" customFormat="1" ht="15.75">
      <c r="B222" s="436"/>
      <c r="C222" s="456"/>
      <c r="D222" s="276" t="s">
        <v>164</v>
      </c>
      <c r="E222" s="316" t="s">
        <v>32</v>
      </c>
      <c r="F222" s="459">
        <f>((1.8*0.18)+0.1)+((1.8*0.18*3)+0.3)+((0.8*0.08)+0.16)</f>
        <v>1.9200000000000002</v>
      </c>
      <c r="G222" s="459">
        <v>0.15</v>
      </c>
      <c r="H222" s="55">
        <f>F222*G222</f>
        <v>0.28800000000000003</v>
      </c>
    </row>
    <row r="223" spans="2:8" s="54" customFormat="1" ht="15.75">
      <c r="B223" s="567" t="s">
        <v>165</v>
      </c>
      <c r="C223" s="564"/>
      <c r="D223" s="568"/>
      <c r="E223" s="568"/>
      <c r="F223" s="620"/>
      <c r="G223" s="620"/>
      <c r="H223" s="621"/>
    </row>
    <row r="224" spans="2:8" s="54" customFormat="1" ht="15.75">
      <c r="B224" s="353">
        <v>6</v>
      </c>
      <c r="C224" s="290" t="s">
        <v>166</v>
      </c>
      <c r="D224" s="600" t="s">
        <v>167</v>
      </c>
      <c r="E224" s="601"/>
      <c r="F224" s="601"/>
      <c r="G224" s="602"/>
      <c r="H224" s="202" t="s">
        <v>13</v>
      </c>
    </row>
    <row r="225" spans="1:8" s="54" customFormat="1" ht="15.75">
      <c r="B225" s="347" t="s">
        <v>168</v>
      </c>
      <c r="C225" s="292" t="s">
        <v>169</v>
      </c>
      <c r="D225" s="60" t="s">
        <v>170</v>
      </c>
      <c r="E225" s="108" t="s">
        <v>171</v>
      </c>
      <c r="F225" s="561" t="s">
        <v>172</v>
      </c>
      <c r="G225" s="561"/>
      <c r="H225" s="199">
        <f>SUM(H226)</f>
        <v>12</v>
      </c>
    </row>
    <row r="226" spans="1:8" s="54" customFormat="1" ht="15">
      <c r="B226" s="355"/>
      <c r="C226" s="356"/>
      <c r="D226" s="52" t="s">
        <v>173</v>
      </c>
      <c r="E226" s="56" t="s">
        <v>171</v>
      </c>
      <c r="F226" s="565">
        <v>12</v>
      </c>
      <c r="G226" s="565"/>
      <c r="H226" s="198">
        <f>F226</f>
        <v>12</v>
      </c>
    </row>
    <row r="227" spans="1:8" s="54" customFormat="1" ht="15.75">
      <c r="B227" s="347" t="s">
        <v>174</v>
      </c>
      <c r="C227" s="354" t="s">
        <v>175</v>
      </c>
      <c r="D227" s="96" t="s">
        <v>176</v>
      </c>
      <c r="E227" s="176" t="s">
        <v>177</v>
      </c>
      <c r="F227" s="575" t="s">
        <v>18</v>
      </c>
      <c r="G227" s="576"/>
      <c r="H227" s="199">
        <f>H228</f>
        <v>20</v>
      </c>
    </row>
    <row r="228" spans="1:8" s="54" customFormat="1" ht="15">
      <c r="B228" s="556"/>
      <c r="C228" s="557"/>
      <c r="D228" s="52" t="s">
        <v>173</v>
      </c>
      <c r="E228" s="56" t="s">
        <v>177</v>
      </c>
      <c r="F228" s="562">
        <v>20</v>
      </c>
      <c r="G228" s="563"/>
      <c r="H228" s="198">
        <f>F228</f>
        <v>20</v>
      </c>
    </row>
    <row r="229" spans="1:8" s="54" customFormat="1" ht="15.75">
      <c r="B229" s="347" t="s">
        <v>178</v>
      </c>
      <c r="C229" s="354" t="s">
        <v>175</v>
      </c>
      <c r="D229" s="96" t="s">
        <v>179</v>
      </c>
      <c r="E229" s="176" t="s">
        <v>177</v>
      </c>
      <c r="F229" s="575" t="s">
        <v>18</v>
      </c>
      <c r="G229" s="576"/>
      <c r="H229" s="199">
        <f>H230</f>
        <v>20</v>
      </c>
    </row>
    <row r="230" spans="1:8" s="54" customFormat="1" ht="15">
      <c r="B230" s="556"/>
      <c r="C230" s="557"/>
      <c r="D230" s="52" t="s">
        <v>173</v>
      </c>
      <c r="E230" s="56" t="s">
        <v>177</v>
      </c>
      <c r="F230" s="562">
        <v>20</v>
      </c>
      <c r="G230" s="563"/>
      <c r="H230" s="198">
        <f>F230</f>
        <v>20</v>
      </c>
    </row>
    <row r="231" spans="1:8" s="54" customFormat="1" ht="15.75">
      <c r="A231" s="93"/>
      <c r="B231" s="347" t="s">
        <v>180</v>
      </c>
      <c r="C231" s="292" t="s">
        <v>175</v>
      </c>
      <c r="D231" s="96" t="s">
        <v>181</v>
      </c>
      <c r="E231" s="176" t="s">
        <v>177</v>
      </c>
      <c r="F231" s="561" t="s">
        <v>18</v>
      </c>
      <c r="G231" s="561"/>
      <c r="H231" s="199">
        <f>H232</f>
        <v>20</v>
      </c>
    </row>
    <row r="232" spans="1:8" s="54" customFormat="1" ht="15">
      <c r="B232" s="556"/>
      <c r="C232" s="558"/>
      <c r="D232" s="52" t="s">
        <v>173</v>
      </c>
      <c r="E232" s="56" t="s">
        <v>177</v>
      </c>
      <c r="F232" s="565">
        <v>20</v>
      </c>
      <c r="G232" s="565"/>
      <c r="H232" s="198">
        <f>F232</f>
        <v>20</v>
      </c>
    </row>
    <row r="233" spans="1:8" s="54" customFormat="1" ht="15.75">
      <c r="B233" s="347" t="s">
        <v>182</v>
      </c>
      <c r="C233" s="292" t="s">
        <v>183</v>
      </c>
      <c r="D233" s="96" t="s">
        <v>184</v>
      </c>
      <c r="E233" s="176" t="s">
        <v>177</v>
      </c>
      <c r="F233" s="561" t="s">
        <v>18</v>
      </c>
      <c r="G233" s="561"/>
      <c r="H233" s="199">
        <f>H234</f>
        <v>33</v>
      </c>
    </row>
    <row r="234" spans="1:8" s="54" customFormat="1" ht="15.75">
      <c r="B234" s="436"/>
      <c r="C234" s="437"/>
      <c r="D234" s="52" t="s">
        <v>173</v>
      </c>
      <c r="E234" s="438"/>
      <c r="F234" s="591">
        <v>33</v>
      </c>
      <c r="G234" s="592"/>
      <c r="H234" s="198">
        <f>F234</f>
        <v>33</v>
      </c>
    </row>
    <row r="235" spans="1:8" s="54" customFormat="1" ht="15.75">
      <c r="B235" s="347" t="s">
        <v>185</v>
      </c>
      <c r="C235" s="292" t="s">
        <v>183</v>
      </c>
      <c r="D235" s="96" t="s">
        <v>186</v>
      </c>
      <c r="E235" s="176" t="s">
        <v>177</v>
      </c>
      <c r="F235" s="561" t="s">
        <v>18</v>
      </c>
      <c r="G235" s="561"/>
      <c r="H235" s="199">
        <f>H236</f>
        <v>70</v>
      </c>
    </row>
    <row r="236" spans="1:8" s="54" customFormat="1" ht="15">
      <c r="B236" s="556"/>
      <c r="C236" s="558"/>
      <c r="D236" s="52" t="s">
        <v>173</v>
      </c>
      <c r="E236" s="56" t="s">
        <v>177</v>
      </c>
      <c r="F236" s="565">
        <v>70</v>
      </c>
      <c r="G236" s="565"/>
      <c r="H236" s="198">
        <f>F236</f>
        <v>70</v>
      </c>
    </row>
    <row r="237" spans="1:8" s="54" customFormat="1" ht="15.75">
      <c r="B237" s="347" t="s">
        <v>187</v>
      </c>
      <c r="C237" s="292" t="s">
        <v>183</v>
      </c>
      <c r="D237" s="96" t="s">
        <v>188</v>
      </c>
      <c r="E237" s="176" t="s">
        <v>177</v>
      </c>
      <c r="F237" s="561" t="s">
        <v>18</v>
      </c>
      <c r="G237" s="561"/>
      <c r="H237" s="199">
        <f>H238</f>
        <v>110</v>
      </c>
    </row>
    <row r="238" spans="1:8" s="54" customFormat="1" ht="15">
      <c r="B238" s="556"/>
      <c r="C238" s="558"/>
      <c r="D238" s="52" t="s">
        <v>173</v>
      </c>
      <c r="E238" s="56" t="s">
        <v>177</v>
      </c>
      <c r="F238" s="565">
        <v>110</v>
      </c>
      <c r="G238" s="565"/>
      <c r="H238" s="198">
        <f>F238</f>
        <v>110</v>
      </c>
    </row>
    <row r="239" spans="1:8" s="54" customFormat="1" ht="15.75">
      <c r="B239" s="347" t="s">
        <v>189</v>
      </c>
      <c r="C239" s="292" t="s">
        <v>183</v>
      </c>
      <c r="D239" s="96" t="s">
        <v>190</v>
      </c>
      <c r="E239" s="176" t="s">
        <v>177</v>
      </c>
      <c r="F239" s="561" t="s">
        <v>18</v>
      </c>
      <c r="G239" s="561"/>
      <c r="H239" s="199">
        <f>H240</f>
        <v>132</v>
      </c>
    </row>
    <row r="240" spans="1:8" s="54" customFormat="1" ht="15">
      <c r="B240" s="556"/>
      <c r="C240" s="558"/>
      <c r="D240" s="52" t="s">
        <v>173</v>
      </c>
      <c r="E240" s="56" t="s">
        <v>177</v>
      </c>
      <c r="F240" s="565">
        <v>132</v>
      </c>
      <c r="G240" s="565"/>
      <c r="H240" s="198">
        <f>F240</f>
        <v>132</v>
      </c>
    </row>
    <row r="241" spans="2:8" s="54" customFormat="1" ht="15.75">
      <c r="B241" s="347" t="s">
        <v>191</v>
      </c>
      <c r="C241" s="292">
        <v>70570</v>
      </c>
      <c r="D241" s="96" t="s">
        <v>192</v>
      </c>
      <c r="E241" s="176" t="s">
        <v>177</v>
      </c>
      <c r="F241" s="561" t="s">
        <v>18</v>
      </c>
      <c r="G241" s="561"/>
      <c r="H241" s="199">
        <f>H242</f>
        <v>13</v>
      </c>
    </row>
    <row r="242" spans="2:8" s="54" customFormat="1" ht="15">
      <c r="B242" s="556"/>
      <c r="C242" s="558"/>
      <c r="D242" s="52" t="s">
        <v>173</v>
      </c>
      <c r="E242" s="56" t="s">
        <v>177</v>
      </c>
      <c r="F242" s="565">
        <v>13</v>
      </c>
      <c r="G242" s="565"/>
      <c r="H242" s="198">
        <f>F242</f>
        <v>13</v>
      </c>
    </row>
    <row r="243" spans="2:8" s="54" customFormat="1" ht="15.75">
      <c r="B243" s="347" t="s">
        <v>193</v>
      </c>
      <c r="C243" s="292">
        <v>70570</v>
      </c>
      <c r="D243" s="96" t="s">
        <v>194</v>
      </c>
      <c r="E243" s="176" t="s">
        <v>177</v>
      </c>
      <c r="F243" s="561" t="s">
        <v>18</v>
      </c>
      <c r="G243" s="561"/>
      <c r="H243" s="199">
        <f>H244</f>
        <v>13</v>
      </c>
    </row>
    <row r="244" spans="2:8" s="54" customFormat="1" ht="15">
      <c r="B244" s="556"/>
      <c r="C244" s="558"/>
      <c r="D244" s="52" t="s">
        <v>173</v>
      </c>
      <c r="E244" s="56" t="s">
        <v>177</v>
      </c>
      <c r="F244" s="565">
        <v>13</v>
      </c>
      <c r="G244" s="565"/>
      <c r="H244" s="198">
        <f>F244</f>
        <v>13</v>
      </c>
    </row>
    <row r="245" spans="2:8" s="54" customFormat="1" ht="15.75">
      <c r="B245" s="347" t="s">
        <v>195</v>
      </c>
      <c r="C245" s="292">
        <v>70570</v>
      </c>
      <c r="D245" s="96" t="s">
        <v>196</v>
      </c>
      <c r="E245" s="176" t="s">
        <v>177</v>
      </c>
      <c r="F245" s="561" t="s">
        <v>18</v>
      </c>
      <c r="G245" s="561"/>
      <c r="H245" s="199">
        <f>H246</f>
        <v>13</v>
      </c>
    </row>
    <row r="246" spans="2:8" s="54" customFormat="1" ht="15.75">
      <c r="B246" s="436"/>
      <c r="C246" s="437"/>
      <c r="D246" s="52" t="s">
        <v>173</v>
      </c>
      <c r="E246" s="438"/>
      <c r="F246" s="591">
        <v>13</v>
      </c>
      <c r="G246" s="592"/>
      <c r="H246" s="198">
        <f>F246</f>
        <v>13</v>
      </c>
    </row>
    <row r="247" spans="2:8" s="54" customFormat="1" ht="15.75">
      <c r="B247" s="347" t="s">
        <v>197</v>
      </c>
      <c r="C247" s="292">
        <v>70570</v>
      </c>
      <c r="D247" s="96" t="s">
        <v>198</v>
      </c>
      <c r="E247" s="176" t="s">
        <v>177</v>
      </c>
      <c r="F247" s="561" t="s">
        <v>18</v>
      </c>
      <c r="G247" s="561"/>
      <c r="H247" s="199">
        <f>H248</f>
        <v>6</v>
      </c>
    </row>
    <row r="248" spans="2:8" s="54" customFormat="1" ht="15.75">
      <c r="B248" s="436"/>
      <c r="C248" s="437"/>
      <c r="D248" s="52" t="s">
        <v>173</v>
      </c>
      <c r="E248" s="438"/>
      <c r="F248" s="591">
        <v>6</v>
      </c>
      <c r="G248" s="592"/>
      <c r="H248" s="198">
        <f>F248</f>
        <v>6</v>
      </c>
    </row>
    <row r="249" spans="2:8" s="54" customFormat="1" ht="15.75">
      <c r="B249" s="347" t="s">
        <v>199</v>
      </c>
      <c r="C249" s="292">
        <v>70570</v>
      </c>
      <c r="D249" s="96" t="s">
        <v>200</v>
      </c>
      <c r="E249" s="176" t="s">
        <v>177</v>
      </c>
      <c r="F249" s="561" t="s">
        <v>18</v>
      </c>
      <c r="G249" s="561"/>
      <c r="H249" s="199">
        <f>H250</f>
        <v>13</v>
      </c>
    </row>
    <row r="250" spans="2:8" s="54" customFormat="1" ht="15">
      <c r="B250" s="556"/>
      <c r="C250" s="558"/>
      <c r="D250" s="52" t="s">
        <v>173</v>
      </c>
      <c r="E250" s="56" t="s">
        <v>177</v>
      </c>
      <c r="F250" s="565">
        <v>13</v>
      </c>
      <c r="G250" s="565"/>
      <c r="H250" s="198">
        <f>F250</f>
        <v>13</v>
      </c>
    </row>
    <row r="251" spans="2:8" s="54" customFormat="1" ht="15.75">
      <c r="B251" s="347" t="s">
        <v>201</v>
      </c>
      <c r="C251" s="292">
        <v>71173</v>
      </c>
      <c r="D251" s="96" t="s">
        <v>202</v>
      </c>
      <c r="E251" s="176" t="s">
        <v>171</v>
      </c>
      <c r="F251" s="561" t="s">
        <v>172</v>
      </c>
      <c r="G251" s="561"/>
      <c r="H251" s="199">
        <f>H252</f>
        <v>8</v>
      </c>
    </row>
    <row r="252" spans="2:8" s="54" customFormat="1" ht="15">
      <c r="B252" s="556"/>
      <c r="C252" s="558"/>
      <c r="D252" s="52" t="s">
        <v>173</v>
      </c>
      <c r="E252" s="56" t="s">
        <v>171</v>
      </c>
      <c r="F252" s="565">
        <v>8</v>
      </c>
      <c r="G252" s="565"/>
      <c r="H252" s="198">
        <f>F252</f>
        <v>8</v>
      </c>
    </row>
    <row r="253" spans="2:8" s="54" customFormat="1" ht="15.75">
      <c r="B253" s="347" t="s">
        <v>203</v>
      </c>
      <c r="C253" s="292">
        <v>71173</v>
      </c>
      <c r="D253" s="96" t="s">
        <v>204</v>
      </c>
      <c r="E253" s="176" t="s">
        <v>171</v>
      </c>
      <c r="F253" s="561" t="s">
        <v>172</v>
      </c>
      <c r="G253" s="561"/>
      <c r="H253" s="199">
        <f>H254</f>
        <v>2</v>
      </c>
    </row>
    <row r="254" spans="2:8" s="54" customFormat="1" ht="15">
      <c r="B254" s="556"/>
      <c r="C254" s="558"/>
      <c r="D254" s="52" t="s">
        <v>173</v>
      </c>
      <c r="E254" s="56" t="s">
        <v>171</v>
      </c>
      <c r="F254" s="565">
        <v>2</v>
      </c>
      <c r="G254" s="565"/>
      <c r="H254" s="198">
        <f>F254</f>
        <v>2</v>
      </c>
    </row>
    <row r="255" spans="2:8" s="54" customFormat="1" ht="15.75">
      <c r="B255" s="347" t="s">
        <v>205</v>
      </c>
      <c r="C255" s="292" t="s">
        <v>206</v>
      </c>
      <c r="D255" s="96" t="s">
        <v>207</v>
      </c>
      <c r="E255" s="176" t="s">
        <v>171</v>
      </c>
      <c r="F255" s="561" t="s">
        <v>172</v>
      </c>
      <c r="G255" s="561"/>
      <c r="H255" s="199">
        <f>H256</f>
        <v>2</v>
      </c>
    </row>
    <row r="256" spans="2:8" s="54" customFormat="1" ht="15">
      <c r="B256" s="556"/>
      <c r="C256" s="558"/>
      <c r="D256" s="52" t="s">
        <v>173</v>
      </c>
      <c r="E256" s="56" t="s">
        <v>171</v>
      </c>
      <c r="F256" s="565">
        <v>2</v>
      </c>
      <c r="G256" s="565"/>
      <c r="H256" s="198">
        <f>F256</f>
        <v>2</v>
      </c>
    </row>
    <row r="257" spans="2:8" s="54" customFormat="1" ht="15.75">
      <c r="B257" s="347" t="s">
        <v>208</v>
      </c>
      <c r="C257" s="292">
        <v>71194</v>
      </c>
      <c r="D257" s="96" t="s">
        <v>209</v>
      </c>
      <c r="E257" s="176" t="s">
        <v>177</v>
      </c>
      <c r="F257" s="561" t="s">
        <v>18</v>
      </c>
      <c r="G257" s="561"/>
      <c r="H257" s="199">
        <f>H258</f>
        <v>80</v>
      </c>
    </row>
    <row r="258" spans="2:8" s="54" customFormat="1" ht="15">
      <c r="B258" s="556"/>
      <c r="C258" s="558"/>
      <c r="D258" s="52" t="s">
        <v>173</v>
      </c>
      <c r="E258" s="56" t="s">
        <v>177</v>
      </c>
      <c r="F258" s="565">
        <v>80</v>
      </c>
      <c r="G258" s="565"/>
      <c r="H258" s="198">
        <f>F258</f>
        <v>80</v>
      </c>
    </row>
    <row r="259" spans="2:8" s="54" customFormat="1" ht="15.75">
      <c r="B259" s="347" t="s">
        <v>210</v>
      </c>
      <c r="C259" s="292">
        <v>71195</v>
      </c>
      <c r="D259" s="96" t="s">
        <v>211</v>
      </c>
      <c r="E259" s="176" t="s">
        <v>177</v>
      </c>
      <c r="F259" s="561" t="s">
        <v>18</v>
      </c>
      <c r="G259" s="561"/>
      <c r="H259" s="199">
        <f>H260</f>
        <v>10</v>
      </c>
    </row>
    <row r="260" spans="2:8" s="54" customFormat="1" ht="15">
      <c r="B260" s="556"/>
      <c r="C260" s="558"/>
      <c r="D260" s="52" t="s">
        <v>173</v>
      </c>
      <c r="E260" s="56" t="s">
        <v>177</v>
      </c>
      <c r="F260" s="565">
        <v>10</v>
      </c>
      <c r="G260" s="565"/>
      <c r="H260" s="198">
        <f>F260</f>
        <v>10</v>
      </c>
    </row>
    <row r="261" spans="2:8" s="54" customFormat="1" ht="15.75">
      <c r="B261" s="347" t="s">
        <v>212</v>
      </c>
      <c r="C261" s="292" t="s">
        <v>213</v>
      </c>
      <c r="D261" s="209" t="s">
        <v>214</v>
      </c>
      <c r="E261" s="176" t="s">
        <v>171</v>
      </c>
      <c r="F261" s="561" t="s">
        <v>172</v>
      </c>
      <c r="G261" s="561"/>
      <c r="H261" s="199">
        <f>H262</f>
        <v>1</v>
      </c>
    </row>
    <row r="262" spans="2:8" s="54" customFormat="1" ht="15">
      <c r="B262" s="556"/>
      <c r="C262" s="558"/>
      <c r="D262" s="52" t="s">
        <v>173</v>
      </c>
      <c r="E262" s="56" t="s">
        <v>171</v>
      </c>
      <c r="F262" s="565">
        <v>1</v>
      </c>
      <c r="G262" s="565"/>
      <c r="H262" s="198">
        <f>F262</f>
        <v>1</v>
      </c>
    </row>
    <row r="263" spans="2:8" s="54" customFormat="1" ht="15.75">
      <c r="B263" s="347" t="s">
        <v>215</v>
      </c>
      <c r="C263" s="292">
        <v>72441</v>
      </c>
      <c r="D263" s="96" t="s">
        <v>216</v>
      </c>
      <c r="E263" s="176" t="s">
        <v>171</v>
      </c>
      <c r="F263" s="561" t="s">
        <v>172</v>
      </c>
      <c r="G263" s="561"/>
      <c r="H263" s="199">
        <f>H264</f>
        <v>6</v>
      </c>
    </row>
    <row r="264" spans="2:8" s="54" customFormat="1" ht="15">
      <c r="B264" s="556"/>
      <c r="C264" s="558"/>
      <c r="D264" s="52" t="s">
        <v>173</v>
      </c>
      <c r="E264" s="56" t="s">
        <v>171</v>
      </c>
      <c r="F264" s="565">
        <v>6</v>
      </c>
      <c r="G264" s="565"/>
      <c r="H264" s="198">
        <f>F264</f>
        <v>6</v>
      </c>
    </row>
    <row r="265" spans="2:8" s="54" customFormat="1" ht="15.75">
      <c r="B265" s="347" t="s">
        <v>217</v>
      </c>
      <c r="C265" s="292">
        <v>72442</v>
      </c>
      <c r="D265" s="96" t="s">
        <v>218</v>
      </c>
      <c r="E265" s="176" t="s">
        <v>171</v>
      </c>
      <c r="F265" s="561" t="s">
        <v>172</v>
      </c>
      <c r="G265" s="561"/>
      <c r="H265" s="199">
        <f>H266</f>
        <v>4</v>
      </c>
    </row>
    <row r="266" spans="2:8" s="54" customFormat="1" ht="15">
      <c r="B266" s="556"/>
      <c r="C266" s="558"/>
      <c r="D266" s="52" t="s">
        <v>173</v>
      </c>
      <c r="E266" s="56" t="s">
        <v>171</v>
      </c>
      <c r="F266" s="565">
        <v>4</v>
      </c>
      <c r="G266" s="565"/>
      <c r="H266" s="201">
        <f>F266</f>
        <v>4</v>
      </c>
    </row>
    <row r="267" spans="2:8" s="54" customFormat="1" ht="15.75">
      <c r="B267" s="347" t="s">
        <v>219</v>
      </c>
      <c r="C267" s="292">
        <v>72385</v>
      </c>
      <c r="D267" s="96" t="s">
        <v>220</v>
      </c>
      <c r="E267" s="176" t="s">
        <v>171</v>
      </c>
      <c r="F267" s="561" t="s">
        <v>172</v>
      </c>
      <c r="G267" s="561"/>
      <c r="H267" s="199">
        <f>H268</f>
        <v>4</v>
      </c>
    </row>
    <row r="268" spans="2:8" s="54" customFormat="1" ht="15.75">
      <c r="B268" s="632"/>
      <c r="C268" s="633"/>
      <c r="D268" s="52" t="s">
        <v>173</v>
      </c>
      <c r="E268" s="56" t="s">
        <v>171</v>
      </c>
      <c r="F268" s="565">
        <v>4</v>
      </c>
      <c r="G268" s="565"/>
      <c r="H268" s="201">
        <f>F268</f>
        <v>4</v>
      </c>
    </row>
    <row r="269" spans="2:8" s="54" customFormat="1" ht="15.75">
      <c r="B269" s="347" t="s">
        <v>221</v>
      </c>
      <c r="C269" s="292">
        <v>71598</v>
      </c>
      <c r="D269" s="96" t="s">
        <v>222</v>
      </c>
      <c r="E269" s="176" t="s">
        <v>171</v>
      </c>
      <c r="F269" s="561" t="s">
        <v>172</v>
      </c>
      <c r="G269" s="561"/>
      <c r="H269" s="199">
        <f>H270</f>
        <v>3</v>
      </c>
    </row>
    <row r="270" spans="2:8" s="54" customFormat="1" ht="15.75">
      <c r="B270" s="632"/>
      <c r="C270" s="633"/>
      <c r="D270" s="52" t="s">
        <v>173</v>
      </c>
      <c r="E270" s="56" t="s">
        <v>171</v>
      </c>
      <c r="F270" s="565">
        <v>3</v>
      </c>
      <c r="G270" s="565"/>
      <c r="H270" s="201">
        <f>F270</f>
        <v>3</v>
      </c>
    </row>
    <row r="271" spans="2:8" s="54" customFormat="1" ht="15.75">
      <c r="B271" s="347" t="s">
        <v>223</v>
      </c>
      <c r="C271" s="292">
        <v>71321</v>
      </c>
      <c r="D271" s="96" t="s">
        <v>224</v>
      </c>
      <c r="E271" s="176" t="s">
        <v>177</v>
      </c>
      <c r="F271" s="561" t="s">
        <v>172</v>
      </c>
      <c r="G271" s="561"/>
      <c r="H271" s="199">
        <f>H272</f>
        <v>1</v>
      </c>
    </row>
    <row r="272" spans="2:8" s="54" customFormat="1" ht="15.75">
      <c r="B272" s="632"/>
      <c r="C272" s="633"/>
      <c r="D272" s="52" t="s">
        <v>173</v>
      </c>
      <c r="E272" s="56" t="s">
        <v>177</v>
      </c>
      <c r="F272" s="565">
        <v>1</v>
      </c>
      <c r="G272" s="565"/>
      <c r="H272" s="201">
        <f>F272</f>
        <v>1</v>
      </c>
    </row>
    <row r="273" spans="1:8" s="54" customFormat="1" ht="15.75">
      <c r="B273" s="347" t="s">
        <v>225</v>
      </c>
      <c r="C273" s="292">
        <v>70681</v>
      </c>
      <c r="D273" s="96" t="s">
        <v>226</v>
      </c>
      <c r="E273" s="176" t="s">
        <v>171</v>
      </c>
      <c r="F273" s="561" t="s">
        <v>172</v>
      </c>
      <c r="G273" s="561"/>
      <c r="H273" s="199">
        <f>H274</f>
        <v>12</v>
      </c>
    </row>
    <row r="274" spans="1:8" s="54" customFormat="1" ht="15.75">
      <c r="B274" s="632"/>
      <c r="C274" s="633"/>
      <c r="D274" s="52" t="s">
        <v>173</v>
      </c>
      <c r="E274" s="56" t="s">
        <v>171</v>
      </c>
      <c r="F274" s="565">
        <v>12</v>
      </c>
      <c r="G274" s="565"/>
      <c r="H274" s="198">
        <f>F274</f>
        <v>12</v>
      </c>
    </row>
    <row r="275" spans="1:8" s="93" customFormat="1" ht="15.75">
      <c r="A275" s="54"/>
      <c r="B275" s="347" t="s">
        <v>227</v>
      </c>
      <c r="C275" s="354">
        <v>70924</v>
      </c>
      <c r="D275" s="96" t="s">
        <v>228</v>
      </c>
      <c r="E275" s="176" t="s">
        <v>171</v>
      </c>
      <c r="F275" s="561" t="s">
        <v>172</v>
      </c>
      <c r="G275" s="561"/>
      <c r="H275" s="199">
        <f>H276</f>
        <v>20</v>
      </c>
    </row>
    <row r="276" spans="1:8" s="54" customFormat="1" ht="15.75">
      <c r="B276" s="632"/>
      <c r="C276" s="633"/>
      <c r="D276" s="52" t="s">
        <v>173</v>
      </c>
      <c r="E276" s="56" t="s">
        <v>171</v>
      </c>
      <c r="F276" s="565">
        <v>20</v>
      </c>
      <c r="G276" s="565"/>
      <c r="H276" s="198">
        <f>F276</f>
        <v>20</v>
      </c>
    </row>
    <row r="277" spans="1:8" s="93" customFormat="1" ht="15.75">
      <c r="A277" s="54"/>
      <c r="B277" s="347" t="s">
        <v>229</v>
      </c>
      <c r="C277" s="354">
        <v>71043</v>
      </c>
      <c r="D277" s="96" t="s">
        <v>230</v>
      </c>
      <c r="E277" s="176" t="s">
        <v>171</v>
      </c>
      <c r="F277" s="561" t="s">
        <v>172</v>
      </c>
      <c r="G277" s="561"/>
      <c r="H277" s="199">
        <f>H278</f>
        <v>3</v>
      </c>
    </row>
    <row r="278" spans="1:8" s="54" customFormat="1" ht="15.75">
      <c r="A278" s="93"/>
      <c r="B278" s="632"/>
      <c r="C278" s="633"/>
      <c r="D278" s="52" t="s">
        <v>173</v>
      </c>
      <c r="E278" s="56" t="s">
        <v>171</v>
      </c>
      <c r="F278" s="565">
        <v>3</v>
      </c>
      <c r="G278" s="565"/>
      <c r="H278" s="198">
        <f>F278</f>
        <v>3</v>
      </c>
    </row>
    <row r="279" spans="1:8" s="93" customFormat="1" ht="15.75">
      <c r="A279" s="54"/>
      <c r="B279" s="347" t="s">
        <v>231</v>
      </c>
      <c r="C279" s="292">
        <v>71440</v>
      </c>
      <c r="D279" s="96" t="s">
        <v>232</v>
      </c>
      <c r="E279" s="176" t="s">
        <v>171</v>
      </c>
      <c r="F279" s="561" t="s">
        <v>172</v>
      </c>
      <c r="G279" s="561"/>
      <c r="H279" s="199">
        <f>H280</f>
        <v>2</v>
      </c>
    </row>
    <row r="280" spans="1:8" s="54" customFormat="1" ht="15.75">
      <c r="A280" s="93"/>
      <c r="B280" s="632"/>
      <c r="C280" s="633"/>
      <c r="D280" s="52" t="s">
        <v>173</v>
      </c>
      <c r="E280" s="56" t="s">
        <v>171</v>
      </c>
      <c r="F280" s="565">
        <v>2</v>
      </c>
      <c r="G280" s="565"/>
      <c r="H280" s="198">
        <f>F280</f>
        <v>2</v>
      </c>
    </row>
    <row r="281" spans="1:8" s="54" customFormat="1" ht="15.75">
      <c r="A281" s="93"/>
      <c r="B281" s="347" t="s">
        <v>233</v>
      </c>
      <c r="C281" s="292" t="s">
        <v>234</v>
      </c>
      <c r="D281" s="96" t="s">
        <v>235</v>
      </c>
      <c r="E281" s="176" t="s">
        <v>171</v>
      </c>
      <c r="F281" s="561" t="s">
        <v>172</v>
      </c>
      <c r="G281" s="561"/>
      <c r="H281" s="199">
        <f>H282</f>
        <v>4</v>
      </c>
    </row>
    <row r="282" spans="1:8" s="54" customFormat="1" ht="15">
      <c r="A282" s="93"/>
      <c r="B282" s="556"/>
      <c r="C282" s="558"/>
      <c r="D282" s="52" t="s">
        <v>173</v>
      </c>
      <c r="E282" s="56" t="s">
        <v>171</v>
      </c>
      <c r="F282" s="565">
        <v>4</v>
      </c>
      <c r="G282" s="565"/>
      <c r="H282" s="198">
        <f>F282</f>
        <v>4</v>
      </c>
    </row>
    <row r="283" spans="1:8" s="54" customFormat="1" ht="15.75">
      <c r="B283" s="347" t="s">
        <v>236</v>
      </c>
      <c r="C283" s="292">
        <v>72570</v>
      </c>
      <c r="D283" s="96" t="s">
        <v>237</v>
      </c>
      <c r="E283" s="176" t="s">
        <v>171</v>
      </c>
      <c r="F283" s="561" t="s">
        <v>172</v>
      </c>
      <c r="G283" s="561"/>
      <c r="H283" s="199">
        <f>H284</f>
        <v>6</v>
      </c>
    </row>
    <row r="284" spans="1:8" s="54" customFormat="1" ht="15">
      <c r="B284" s="556"/>
      <c r="C284" s="558"/>
      <c r="D284" s="52" t="s">
        <v>173</v>
      </c>
      <c r="E284" s="56" t="s">
        <v>171</v>
      </c>
      <c r="F284" s="565">
        <v>6</v>
      </c>
      <c r="G284" s="565"/>
      <c r="H284" s="198">
        <f>F284</f>
        <v>6</v>
      </c>
    </row>
    <row r="285" spans="1:8" s="54" customFormat="1" ht="15.75">
      <c r="B285" s="347" t="s">
        <v>238</v>
      </c>
      <c r="C285" s="292">
        <v>72575</v>
      </c>
      <c r="D285" s="96" t="s">
        <v>239</v>
      </c>
      <c r="E285" s="176" t="s">
        <v>171</v>
      </c>
      <c r="F285" s="561" t="s">
        <v>172</v>
      </c>
      <c r="G285" s="561"/>
      <c r="H285" s="199">
        <f>H286</f>
        <v>3</v>
      </c>
    </row>
    <row r="286" spans="1:8" s="54" customFormat="1" ht="15">
      <c r="B286" s="556"/>
      <c r="C286" s="558"/>
      <c r="D286" s="52" t="s">
        <v>173</v>
      </c>
      <c r="E286" s="56" t="s">
        <v>171</v>
      </c>
      <c r="F286" s="565">
        <v>3</v>
      </c>
      <c r="G286" s="565"/>
      <c r="H286" s="198">
        <f>F286</f>
        <v>3</v>
      </c>
    </row>
    <row r="287" spans="1:8" s="54" customFormat="1" ht="15.75">
      <c r="B287" s="347" t="s">
        <v>240</v>
      </c>
      <c r="C287" s="292">
        <v>70710</v>
      </c>
      <c r="D287" s="96" t="s">
        <v>241</v>
      </c>
      <c r="E287" s="176" t="s">
        <v>171</v>
      </c>
      <c r="F287" s="561" t="s">
        <v>172</v>
      </c>
      <c r="G287" s="561"/>
      <c r="H287" s="199">
        <f>H288</f>
        <v>1</v>
      </c>
    </row>
    <row r="288" spans="1:8" s="54" customFormat="1" ht="15">
      <c r="B288" s="556"/>
      <c r="C288" s="558"/>
      <c r="D288" s="52" t="s">
        <v>173</v>
      </c>
      <c r="E288" s="56" t="s">
        <v>171</v>
      </c>
      <c r="F288" s="565">
        <v>1</v>
      </c>
      <c r="G288" s="565"/>
      <c r="H288" s="198">
        <f>F288</f>
        <v>1</v>
      </c>
    </row>
    <row r="289" spans="2:8" s="54" customFormat="1" ht="15.75">
      <c r="B289" s="347" t="s">
        <v>242</v>
      </c>
      <c r="C289" s="292">
        <v>70542</v>
      </c>
      <c r="D289" s="96" t="s">
        <v>243</v>
      </c>
      <c r="E289" s="176" t="s">
        <v>177</v>
      </c>
      <c r="F289" s="561" t="s">
        <v>18</v>
      </c>
      <c r="G289" s="561"/>
      <c r="H289" s="199">
        <f>H290</f>
        <v>5</v>
      </c>
    </row>
    <row r="290" spans="2:8" s="54" customFormat="1" ht="15">
      <c r="B290" s="556"/>
      <c r="C290" s="558"/>
      <c r="D290" s="52" t="s">
        <v>173</v>
      </c>
      <c r="E290" s="56" t="s">
        <v>177</v>
      </c>
      <c r="F290" s="565">
        <v>5</v>
      </c>
      <c r="G290" s="565"/>
      <c r="H290" s="198">
        <f>F290</f>
        <v>5</v>
      </c>
    </row>
    <row r="291" spans="2:8" s="54" customFormat="1" ht="15.75">
      <c r="B291" s="347" t="s">
        <v>244</v>
      </c>
      <c r="C291" s="292">
        <v>71380</v>
      </c>
      <c r="D291" s="96" t="s">
        <v>245</v>
      </c>
      <c r="E291" s="176" t="s">
        <v>171</v>
      </c>
      <c r="F291" s="561" t="s">
        <v>172</v>
      </c>
      <c r="G291" s="561"/>
      <c r="H291" s="199">
        <f>H292</f>
        <v>3</v>
      </c>
    </row>
    <row r="292" spans="2:8" s="54" customFormat="1" ht="15">
      <c r="B292" s="556"/>
      <c r="C292" s="558"/>
      <c r="D292" s="52" t="s">
        <v>173</v>
      </c>
      <c r="E292" s="56" t="s">
        <v>171</v>
      </c>
      <c r="F292" s="565">
        <v>3</v>
      </c>
      <c r="G292" s="565"/>
      <c r="H292" s="198">
        <f>F292</f>
        <v>3</v>
      </c>
    </row>
    <row r="293" spans="2:8" s="54" customFormat="1" ht="15.75">
      <c r="B293" s="347" t="s">
        <v>246</v>
      </c>
      <c r="C293" s="292" t="s">
        <v>247</v>
      </c>
      <c r="D293" s="96" t="s">
        <v>248</v>
      </c>
      <c r="E293" s="176" t="s">
        <v>171</v>
      </c>
      <c r="F293" s="561" t="s">
        <v>172</v>
      </c>
      <c r="G293" s="561"/>
      <c r="H293" s="199">
        <f>H294</f>
        <v>2</v>
      </c>
    </row>
    <row r="294" spans="2:8" s="54" customFormat="1" ht="15">
      <c r="B294" s="556"/>
      <c r="C294" s="558"/>
      <c r="D294" s="52" t="s">
        <v>173</v>
      </c>
      <c r="E294" s="56" t="s">
        <v>171</v>
      </c>
      <c r="F294" s="565">
        <v>2</v>
      </c>
      <c r="G294" s="565"/>
      <c r="H294" s="198">
        <f>F294</f>
        <v>2</v>
      </c>
    </row>
    <row r="295" spans="2:8" s="54" customFormat="1" ht="15.75">
      <c r="B295" s="347" t="s">
        <v>249</v>
      </c>
      <c r="C295" s="292" t="s">
        <v>250</v>
      </c>
      <c r="D295" s="96" t="s">
        <v>251</v>
      </c>
      <c r="E295" s="176" t="s">
        <v>171</v>
      </c>
      <c r="F295" s="561" t="s">
        <v>172</v>
      </c>
      <c r="G295" s="561"/>
      <c r="H295" s="199">
        <f>H296</f>
        <v>4</v>
      </c>
    </row>
    <row r="296" spans="2:8" s="54" customFormat="1" ht="15">
      <c r="B296" s="556"/>
      <c r="C296" s="558"/>
      <c r="D296" s="52" t="s">
        <v>173</v>
      </c>
      <c r="E296" s="56" t="s">
        <v>171</v>
      </c>
      <c r="F296" s="565">
        <v>4</v>
      </c>
      <c r="G296" s="565"/>
      <c r="H296" s="198">
        <f>F296</f>
        <v>4</v>
      </c>
    </row>
    <row r="297" spans="2:8" s="54" customFormat="1" ht="15.75">
      <c r="B297" s="567" t="s">
        <v>252</v>
      </c>
      <c r="C297" s="564"/>
      <c r="D297" s="568"/>
      <c r="E297" s="568"/>
      <c r="F297" s="568"/>
      <c r="G297" s="568"/>
      <c r="H297" s="569"/>
    </row>
    <row r="298" spans="2:8" s="54" customFormat="1" ht="15.75">
      <c r="B298" s="353">
        <v>7</v>
      </c>
      <c r="C298" s="290" t="s">
        <v>253</v>
      </c>
      <c r="D298" s="600" t="s">
        <v>254</v>
      </c>
      <c r="E298" s="601"/>
      <c r="F298" s="601"/>
      <c r="G298" s="602"/>
      <c r="H298" s="202" t="s">
        <v>13</v>
      </c>
    </row>
    <row r="299" spans="2:8" s="54" customFormat="1" ht="15.75">
      <c r="B299" s="634" t="s">
        <v>255</v>
      </c>
      <c r="C299" s="635"/>
      <c r="D299" s="636"/>
      <c r="E299" s="636"/>
      <c r="F299" s="636"/>
      <c r="G299" s="637"/>
      <c r="H299" s="207"/>
    </row>
    <row r="300" spans="2:8" s="54" customFormat="1" ht="15.75">
      <c r="B300" s="347" t="s">
        <v>256</v>
      </c>
      <c r="C300" s="292">
        <v>80721</v>
      </c>
      <c r="D300" s="97" t="s">
        <v>257</v>
      </c>
      <c r="E300" s="108" t="s">
        <v>171</v>
      </c>
      <c r="F300" s="561" t="s">
        <v>172</v>
      </c>
      <c r="G300" s="561"/>
      <c r="H300" s="199">
        <f>SUM(H301:H301)</f>
        <v>2</v>
      </c>
    </row>
    <row r="301" spans="2:8" s="54" customFormat="1" ht="15">
      <c r="B301" s="546"/>
      <c r="C301" s="547"/>
      <c r="D301" s="52" t="s">
        <v>258</v>
      </c>
      <c r="E301" s="56" t="s">
        <v>171</v>
      </c>
      <c r="F301" s="565">
        <v>2</v>
      </c>
      <c r="G301" s="565"/>
      <c r="H301" s="206">
        <f>F301</f>
        <v>2</v>
      </c>
    </row>
    <row r="302" spans="2:8" s="54" customFormat="1" ht="15.75">
      <c r="B302" s="347" t="s">
        <v>259</v>
      </c>
      <c r="C302" s="292">
        <v>80590</v>
      </c>
      <c r="D302" s="97" t="s">
        <v>260</v>
      </c>
      <c r="E302" s="108" t="s">
        <v>171</v>
      </c>
      <c r="F302" s="561" t="s">
        <v>172</v>
      </c>
      <c r="G302" s="561"/>
      <c r="H302" s="199">
        <f>SUM(H303:H303)</f>
        <v>3</v>
      </c>
    </row>
    <row r="303" spans="2:8" s="54" customFormat="1" ht="15">
      <c r="B303" s="546"/>
      <c r="C303" s="547"/>
      <c r="D303" s="52" t="s">
        <v>258</v>
      </c>
      <c r="E303" s="56" t="s">
        <v>171</v>
      </c>
      <c r="F303" s="565">
        <v>3</v>
      </c>
      <c r="G303" s="565"/>
      <c r="H303" s="206">
        <f>F303</f>
        <v>3</v>
      </c>
    </row>
    <row r="304" spans="2:8" s="54" customFormat="1" ht="15.75">
      <c r="B304" s="347" t="s">
        <v>261</v>
      </c>
      <c r="C304" s="292">
        <v>80656</v>
      </c>
      <c r="D304" s="97" t="s">
        <v>262</v>
      </c>
      <c r="E304" s="108" t="s">
        <v>171</v>
      </c>
      <c r="F304" s="561" t="s">
        <v>172</v>
      </c>
      <c r="G304" s="561"/>
      <c r="H304" s="199">
        <f>SUM(H305:H305)</f>
        <v>3</v>
      </c>
    </row>
    <row r="305" spans="1:8" s="54" customFormat="1" ht="15">
      <c r="B305" s="544"/>
      <c r="C305" s="545"/>
      <c r="D305" s="52" t="s">
        <v>258</v>
      </c>
      <c r="E305" s="56" t="s">
        <v>171</v>
      </c>
      <c r="F305" s="565">
        <v>3</v>
      </c>
      <c r="G305" s="565"/>
      <c r="H305" s="206">
        <f t="shared" ref="H305" si="21">F305</f>
        <v>3</v>
      </c>
    </row>
    <row r="306" spans="1:8" s="54" customFormat="1" ht="15.75">
      <c r="B306" s="347" t="s">
        <v>263</v>
      </c>
      <c r="C306" s="292">
        <v>80556</v>
      </c>
      <c r="D306" s="97" t="s">
        <v>264</v>
      </c>
      <c r="E306" s="108" t="s">
        <v>171</v>
      </c>
      <c r="F306" s="561" t="s">
        <v>172</v>
      </c>
      <c r="G306" s="561"/>
      <c r="H306" s="199">
        <f>SUM(H307:H307)</f>
        <v>3</v>
      </c>
    </row>
    <row r="307" spans="1:8" s="54" customFormat="1" ht="15.75" customHeight="1">
      <c r="B307" s="658"/>
      <c r="C307" s="659"/>
      <c r="D307" s="52" t="s">
        <v>258</v>
      </c>
      <c r="E307" s="56" t="s">
        <v>171</v>
      </c>
      <c r="F307" s="565">
        <v>3</v>
      </c>
      <c r="G307" s="565"/>
      <c r="H307" s="206">
        <f t="shared" ref="H307" si="22">F307</f>
        <v>3</v>
      </c>
    </row>
    <row r="308" spans="1:8" s="54" customFormat="1" ht="15.75">
      <c r="B308" s="347" t="s">
        <v>265</v>
      </c>
      <c r="C308" s="292">
        <v>80671</v>
      </c>
      <c r="D308" s="97" t="s">
        <v>266</v>
      </c>
      <c r="E308" s="108" t="s">
        <v>171</v>
      </c>
      <c r="F308" s="575" t="s">
        <v>172</v>
      </c>
      <c r="G308" s="576"/>
      <c r="H308" s="199">
        <f>SUM(H309:H309)</f>
        <v>3</v>
      </c>
    </row>
    <row r="309" spans="1:8" s="54" customFormat="1" ht="15">
      <c r="B309" s="544"/>
      <c r="C309" s="545"/>
      <c r="D309" s="52" t="s">
        <v>258</v>
      </c>
      <c r="E309" s="56" t="s">
        <v>171</v>
      </c>
      <c r="F309" s="565">
        <v>3</v>
      </c>
      <c r="G309" s="565"/>
      <c r="H309" s="206">
        <f t="shared" ref="H309" si="23">F309</f>
        <v>3</v>
      </c>
    </row>
    <row r="310" spans="1:8" s="54" customFormat="1" ht="15.75">
      <c r="B310" s="347" t="s">
        <v>267</v>
      </c>
      <c r="C310" s="292">
        <v>80532</v>
      </c>
      <c r="D310" s="97" t="s">
        <v>268</v>
      </c>
      <c r="E310" s="108" t="s">
        <v>171</v>
      </c>
      <c r="F310" s="561" t="s">
        <v>172</v>
      </c>
      <c r="G310" s="561"/>
      <c r="H310" s="199">
        <f>SUM(H311:H311)</f>
        <v>3</v>
      </c>
    </row>
    <row r="311" spans="1:8" s="54" customFormat="1" ht="15.75">
      <c r="B311" s="540"/>
      <c r="C311" s="541"/>
      <c r="D311" s="52" t="s">
        <v>258</v>
      </c>
      <c r="E311" s="56" t="s">
        <v>171</v>
      </c>
      <c r="F311" s="562">
        <v>3</v>
      </c>
      <c r="G311" s="563"/>
      <c r="H311" s="206">
        <f t="shared" ref="H311" si="24">F311</f>
        <v>3</v>
      </c>
    </row>
    <row r="312" spans="1:8" s="54" customFormat="1" ht="15.75">
      <c r="B312" s="347" t="s">
        <v>269</v>
      </c>
      <c r="C312" s="292" t="s">
        <v>270</v>
      </c>
      <c r="D312" s="66" t="s">
        <v>271</v>
      </c>
      <c r="E312" s="108" t="s">
        <v>171</v>
      </c>
      <c r="F312" s="561" t="s">
        <v>172</v>
      </c>
      <c r="G312" s="561"/>
      <c r="H312" s="199">
        <f>SUM(H313:H313)</f>
        <v>1</v>
      </c>
    </row>
    <row r="313" spans="1:8" s="54" customFormat="1" ht="15.75">
      <c r="B313" s="540"/>
      <c r="C313" s="541"/>
      <c r="D313" s="52" t="s">
        <v>258</v>
      </c>
      <c r="E313" s="56" t="s">
        <v>171</v>
      </c>
      <c r="F313" s="562">
        <v>1</v>
      </c>
      <c r="G313" s="563"/>
      <c r="H313" s="206">
        <f t="shared" ref="H313" si="25">F313</f>
        <v>1</v>
      </c>
    </row>
    <row r="314" spans="1:8" s="54" customFormat="1" ht="15.75">
      <c r="B314" s="347" t="s">
        <v>272</v>
      </c>
      <c r="C314" s="292">
        <v>80520</v>
      </c>
      <c r="D314" s="66" t="s">
        <v>273</v>
      </c>
      <c r="E314" s="61" t="s">
        <v>171</v>
      </c>
      <c r="F314" s="561" t="s">
        <v>274</v>
      </c>
      <c r="G314" s="561"/>
      <c r="H314" s="199">
        <f>SUM(H315:H315)</f>
        <v>3</v>
      </c>
    </row>
    <row r="315" spans="1:8" s="54" customFormat="1" ht="15.75">
      <c r="B315" s="540"/>
      <c r="C315" s="541"/>
      <c r="D315" s="52" t="s">
        <v>258</v>
      </c>
      <c r="E315" s="56" t="s">
        <v>171</v>
      </c>
      <c r="F315" s="562">
        <v>3</v>
      </c>
      <c r="G315" s="563"/>
      <c r="H315" s="206">
        <f>F315</f>
        <v>3</v>
      </c>
    </row>
    <row r="316" spans="1:8" s="54" customFormat="1" ht="15.75">
      <c r="A316" s="93"/>
      <c r="B316" s="347" t="s">
        <v>275</v>
      </c>
      <c r="C316" s="357">
        <v>81006</v>
      </c>
      <c r="D316" s="217" t="s">
        <v>276</v>
      </c>
      <c r="E316" s="108" t="s">
        <v>177</v>
      </c>
      <c r="F316" s="575" t="s">
        <v>18</v>
      </c>
      <c r="G316" s="576"/>
      <c r="H316" s="199">
        <f>H317</f>
        <v>9</v>
      </c>
    </row>
    <row r="317" spans="1:8" s="54" customFormat="1" ht="15">
      <c r="B317" s="546"/>
      <c r="C317" s="547"/>
      <c r="D317" s="52" t="s">
        <v>258</v>
      </c>
      <c r="E317" s="56" t="s">
        <v>177</v>
      </c>
      <c r="F317" s="587">
        <v>9</v>
      </c>
      <c r="G317" s="587"/>
      <c r="H317" s="206">
        <f>F317</f>
        <v>9</v>
      </c>
    </row>
    <row r="318" spans="1:8" s="54" customFormat="1" ht="15.75">
      <c r="B318" s="347" t="s">
        <v>277</v>
      </c>
      <c r="C318" s="292">
        <v>80926</v>
      </c>
      <c r="D318" s="97" t="s">
        <v>278</v>
      </c>
      <c r="E318" s="108" t="s">
        <v>171</v>
      </c>
      <c r="F318" s="561" t="s">
        <v>274</v>
      </c>
      <c r="G318" s="561"/>
      <c r="H318" s="199">
        <f>SUM(H319:H319)</f>
        <v>2</v>
      </c>
    </row>
    <row r="319" spans="1:8" s="54" customFormat="1" ht="15">
      <c r="B319" s="544"/>
      <c r="C319" s="545"/>
      <c r="D319" s="52" t="s">
        <v>258</v>
      </c>
      <c r="E319" s="56" t="s">
        <v>171</v>
      </c>
      <c r="F319" s="565">
        <v>2</v>
      </c>
      <c r="G319" s="565"/>
      <c r="H319" s="206">
        <f>F319</f>
        <v>2</v>
      </c>
    </row>
    <row r="320" spans="1:8" s="54" customFormat="1" ht="15.75">
      <c r="B320" s="347" t="s">
        <v>279</v>
      </c>
      <c r="C320" s="292">
        <v>80946</v>
      </c>
      <c r="D320" s="97" t="s">
        <v>280</v>
      </c>
      <c r="E320" s="108" t="s">
        <v>171</v>
      </c>
      <c r="F320" s="575" t="s">
        <v>274</v>
      </c>
      <c r="G320" s="576"/>
      <c r="H320" s="199">
        <f>SUM(H321:H321)</f>
        <v>2</v>
      </c>
    </row>
    <row r="321" spans="2:8" s="54" customFormat="1" ht="15">
      <c r="B321" s="544"/>
      <c r="C321" s="545"/>
      <c r="D321" s="52" t="s">
        <v>258</v>
      </c>
      <c r="E321" s="56" t="s">
        <v>171</v>
      </c>
      <c r="F321" s="565">
        <v>2</v>
      </c>
      <c r="G321" s="565"/>
      <c r="H321" s="206">
        <f>F321</f>
        <v>2</v>
      </c>
    </row>
    <row r="322" spans="2:8" s="54" customFormat="1" ht="15.75">
      <c r="B322" s="358" t="s">
        <v>281</v>
      </c>
      <c r="C322" s="357">
        <v>80905</v>
      </c>
      <c r="D322" s="217" t="s">
        <v>282</v>
      </c>
      <c r="E322" s="108" t="s">
        <v>171</v>
      </c>
      <c r="F322" s="561" t="s">
        <v>274</v>
      </c>
      <c r="G322" s="561"/>
      <c r="H322" s="199">
        <f>H323</f>
        <v>1</v>
      </c>
    </row>
    <row r="323" spans="2:8" s="54" customFormat="1" ht="15">
      <c r="B323" s="655"/>
      <c r="C323" s="656"/>
      <c r="D323" s="57" t="s">
        <v>283</v>
      </c>
      <c r="E323" s="56" t="s">
        <v>171</v>
      </c>
      <c r="F323" s="565">
        <v>1</v>
      </c>
      <c r="G323" s="565"/>
      <c r="H323" s="201">
        <f>F323</f>
        <v>1</v>
      </c>
    </row>
    <row r="324" spans="2:8" s="54" customFormat="1" ht="15.75">
      <c r="B324" s="358" t="s">
        <v>284</v>
      </c>
      <c r="C324" s="357">
        <v>81326</v>
      </c>
      <c r="D324" s="217" t="s">
        <v>285</v>
      </c>
      <c r="E324" s="108" t="s">
        <v>171</v>
      </c>
      <c r="F324" s="575" t="s">
        <v>274</v>
      </c>
      <c r="G324" s="576"/>
      <c r="H324" s="199">
        <f>H325</f>
        <v>8</v>
      </c>
    </row>
    <row r="325" spans="2:8" s="54" customFormat="1" ht="15">
      <c r="B325" s="359"/>
      <c r="C325" s="360"/>
      <c r="D325" s="52" t="s">
        <v>258</v>
      </c>
      <c r="E325" s="56" t="s">
        <v>171</v>
      </c>
      <c r="F325" s="588">
        <v>8</v>
      </c>
      <c r="G325" s="589"/>
      <c r="H325" s="206">
        <f>F325</f>
        <v>8</v>
      </c>
    </row>
    <row r="326" spans="2:8" s="54" customFormat="1" ht="15.75">
      <c r="B326" s="358" t="s">
        <v>286</v>
      </c>
      <c r="C326" s="357" t="s">
        <v>287</v>
      </c>
      <c r="D326" s="416" t="s">
        <v>288</v>
      </c>
      <c r="E326" s="108" t="s">
        <v>171</v>
      </c>
      <c r="F326" s="575" t="s">
        <v>274</v>
      </c>
      <c r="G326" s="576"/>
      <c r="H326" s="199">
        <f>H327</f>
        <v>9</v>
      </c>
    </row>
    <row r="327" spans="2:8" s="54" customFormat="1" ht="15">
      <c r="B327" s="359"/>
      <c r="C327" s="360"/>
      <c r="D327" s="52" t="s">
        <v>258</v>
      </c>
      <c r="E327" s="56" t="s">
        <v>171</v>
      </c>
      <c r="F327" s="588">
        <v>9</v>
      </c>
      <c r="G327" s="589"/>
      <c r="H327" s="206">
        <f>F327</f>
        <v>9</v>
      </c>
    </row>
    <row r="328" spans="2:8" s="54" customFormat="1" ht="15.75">
      <c r="B328" s="358" t="s">
        <v>289</v>
      </c>
      <c r="C328" s="433" t="s">
        <v>290</v>
      </c>
      <c r="D328" s="217" t="s">
        <v>291</v>
      </c>
      <c r="E328" s="108" t="s">
        <v>171</v>
      </c>
      <c r="F328" s="575" t="s">
        <v>274</v>
      </c>
      <c r="G328" s="576"/>
      <c r="H328" s="199">
        <f>H329</f>
        <v>1</v>
      </c>
    </row>
    <row r="329" spans="2:8" s="54" customFormat="1" ht="15">
      <c r="B329" s="359"/>
      <c r="C329" s="360"/>
      <c r="D329" s="52" t="s">
        <v>258</v>
      </c>
      <c r="E329" s="56" t="s">
        <v>171</v>
      </c>
      <c r="F329" s="588">
        <v>1</v>
      </c>
      <c r="G329" s="589"/>
      <c r="H329" s="206">
        <f>F329</f>
        <v>1</v>
      </c>
    </row>
    <row r="330" spans="2:8" s="54" customFormat="1" ht="15.75">
      <c r="B330" s="358" t="s">
        <v>292</v>
      </c>
      <c r="C330" s="357" t="s">
        <v>293</v>
      </c>
      <c r="D330" s="217" t="s">
        <v>294</v>
      </c>
      <c r="E330" s="108" t="s">
        <v>171</v>
      </c>
      <c r="F330" s="575" t="s">
        <v>274</v>
      </c>
      <c r="G330" s="576"/>
      <c r="H330" s="199">
        <f>H331</f>
        <v>7</v>
      </c>
    </row>
    <row r="331" spans="2:8" s="54" customFormat="1" ht="15">
      <c r="B331" s="359"/>
      <c r="C331" s="360"/>
      <c r="D331" s="52" t="s">
        <v>258</v>
      </c>
      <c r="E331" s="56" t="s">
        <v>171</v>
      </c>
      <c r="F331" s="588">
        <v>7</v>
      </c>
      <c r="G331" s="589"/>
      <c r="H331" s="206">
        <f>F331</f>
        <v>7</v>
      </c>
    </row>
    <row r="332" spans="2:8" s="54" customFormat="1" ht="15.75">
      <c r="B332" s="358" t="s">
        <v>295</v>
      </c>
      <c r="C332" s="357" t="s">
        <v>296</v>
      </c>
      <c r="D332" s="217" t="s">
        <v>297</v>
      </c>
      <c r="E332" s="108" t="s">
        <v>171</v>
      </c>
      <c r="F332" s="575" t="s">
        <v>274</v>
      </c>
      <c r="G332" s="576"/>
      <c r="H332" s="199">
        <f>H333</f>
        <v>8</v>
      </c>
    </row>
    <row r="333" spans="2:8" s="54" customFormat="1" ht="15">
      <c r="B333" s="359"/>
      <c r="C333" s="360"/>
      <c r="D333" s="52" t="s">
        <v>258</v>
      </c>
      <c r="E333" s="56" t="s">
        <v>171</v>
      </c>
      <c r="F333" s="588">
        <v>8</v>
      </c>
      <c r="G333" s="589"/>
      <c r="H333" s="206">
        <f>F333</f>
        <v>8</v>
      </c>
    </row>
    <row r="334" spans="2:8" s="54" customFormat="1" ht="15.75">
      <c r="B334" s="358" t="s">
        <v>298</v>
      </c>
      <c r="C334" s="357" t="s">
        <v>299</v>
      </c>
      <c r="D334" s="416" t="s">
        <v>300</v>
      </c>
      <c r="E334" s="108" t="s">
        <v>171</v>
      </c>
      <c r="F334" s="575" t="s">
        <v>274</v>
      </c>
      <c r="G334" s="576"/>
      <c r="H334" s="199">
        <f>H335</f>
        <v>15.35</v>
      </c>
    </row>
    <row r="335" spans="2:8" s="54" customFormat="1" ht="15">
      <c r="B335" s="359"/>
      <c r="C335" s="360"/>
      <c r="D335" s="52" t="s">
        <v>258</v>
      </c>
      <c r="E335" s="56" t="s">
        <v>171</v>
      </c>
      <c r="F335" s="588">
        <v>15.35</v>
      </c>
      <c r="G335" s="589"/>
      <c r="H335" s="206">
        <f>F335</f>
        <v>15.35</v>
      </c>
    </row>
    <row r="336" spans="2:8" s="54" customFormat="1" ht="15.75">
      <c r="B336" s="358" t="s">
        <v>301</v>
      </c>
      <c r="C336" s="357" t="s">
        <v>302</v>
      </c>
      <c r="D336" s="416" t="s">
        <v>303</v>
      </c>
      <c r="E336" s="108" t="s">
        <v>171</v>
      </c>
      <c r="F336" s="575" t="s">
        <v>274</v>
      </c>
      <c r="G336" s="576"/>
      <c r="H336" s="199">
        <f>H337</f>
        <v>31.61</v>
      </c>
    </row>
    <row r="337" spans="2:8" s="54" customFormat="1" ht="15.75">
      <c r="B337" s="435"/>
      <c r="C337" s="434"/>
      <c r="D337" s="52" t="s">
        <v>258</v>
      </c>
      <c r="E337" s="420"/>
      <c r="F337" s="588">
        <v>31.61</v>
      </c>
      <c r="G337" s="589"/>
      <c r="H337" s="206">
        <f>F337</f>
        <v>31.61</v>
      </c>
    </row>
    <row r="338" spans="2:8" s="54" customFormat="1" ht="15.75">
      <c r="B338" s="358" t="s">
        <v>304</v>
      </c>
      <c r="C338" s="357" t="s">
        <v>305</v>
      </c>
      <c r="D338" s="416" t="s">
        <v>306</v>
      </c>
      <c r="E338" s="108" t="s">
        <v>171</v>
      </c>
      <c r="F338" s="575" t="s">
        <v>274</v>
      </c>
      <c r="G338" s="576"/>
      <c r="H338" s="291">
        <f>H339</f>
        <v>2</v>
      </c>
    </row>
    <row r="339" spans="2:8" s="54" customFormat="1" ht="15.75">
      <c r="B339" s="435"/>
      <c r="C339" s="434"/>
      <c r="D339" s="52" t="s">
        <v>258</v>
      </c>
      <c r="E339" s="56" t="s">
        <v>171</v>
      </c>
      <c r="F339" s="644">
        <v>2</v>
      </c>
      <c r="G339" s="645"/>
      <c r="H339" s="426">
        <f>F339</f>
        <v>2</v>
      </c>
    </row>
    <row r="340" spans="2:8" s="54" customFormat="1" ht="15.75">
      <c r="B340" s="358" t="s">
        <v>307</v>
      </c>
      <c r="C340" s="357" t="s">
        <v>308</v>
      </c>
      <c r="D340" s="217" t="s">
        <v>309</v>
      </c>
      <c r="E340" s="108" t="s">
        <v>171</v>
      </c>
      <c r="F340" s="575" t="s">
        <v>274</v>
      </c>
      <c r="G340" s="576"/>
      <c r="H340" s="199">
        <f>H341</f>
        <v>4</v>
      </c>
    </row>
    <row r="341" spans="2:8" s="54" customFormat="1" ht="15">
      <c r="B341" s="359"/>
      <c r="C341" s="360"/>
      <c r="D341" s="524" t="s">
        <v>258</v>
      </c>
      <c r="E341" s="56" t="s">
        <v>171</v>
      </c>
      <c r="F341" s="653">
        <v>4</v>
      </c>
      <c r="G341" s="654"/>
      <c r="H341" s="200">
        <f>F341</f>
        <v>4</v>
      </c>
    </row>
    <row r="342" spans="2:8" s="54" customFormat="1" ht="15.75">
      <c r="B342" s="358" t="s">
        <v>310</v>
      </c>
      <c r="C342" s="357" t="s">
        <v>311</v>
      </c>
      <c r="D342" s="217" t="s">
        <v>312</v>
      </c>
      <c r="E342" s="108" t="s">
        <v>171</v>
      </c>
      <c r="F342" s="575" t="s">
        <v>274</v>
      </c>
      <c r="G342" s="576"/>
      <c r="H342" s="199">
        <f>H343</f>
        <v>2</v>
      </c>
    </row>
    <row r="343" spans="2:8" s="54" customFormat="1" ht="15">
      <c r="B343" s="345"/>
      <c r="C343" s="346"/>
      <c r="D343" s="52" t="s">
        <v>258</v>
      </c>
      <c r="E343" s="56" t="s">
        <v>171</v>
      </c>
      <c r="F343" s="588">
        <v>2</v>
      </c>
      <c r="G343" s="589"/>
      <c r="H343" s="206">
        <f>F343</f>
        <v>2</v>
      </c>
    </row>
    <row r="344" spans="2:8" s="54" customFormat="1" ht="15.75">
      <c r="B344" s="347" t="s">
        <v>313</v>
      </c>
      <c r="C344" s="292" t="s">
        <v>314</v>
      </c>
      <c r="D344" s="97" t="s">
        <v>315</v>
      </c>
      <c r="E344" s="108" t="s">
        <v>171</v>
      </c>
      <c r="F344" s="575" t="s">
        <v>274</v>
      </c>
      <c r="G344" s="576"/>
      <c r="H344" s="199">
        <f>SUM(H345:H345)</f>
        <v>3</v>
      </c>
    </row>
    <row r="345" spans="2:8" s="54" customFormat="1" ht="15">
      <c r="B345" s="345"/>
      <c r="C345" s="346"/>
      <c r="D345" s="57" t="s">
        <v>316</v>
      </c>
      <c r="E345" s="56" t="s">
        <v>171</v>
      </c>
      <c r="F345" s="562">
        <v>3</v>
      </c>
      <c r="G345" s="563"/>
      <c r="H345" s="206">
        <f>F345</f>
        <v>3</v>
      </c>
    </row>
    <row r="346" spans="2:8" s="54" customFormat="1" ht="15.75">
      <c r="B346" s="347" t="s">
        <v>317</v>
      </c>
      <c r="C346" s="354" t="s">
        <v>318</v>
      </c>
      <c r="D346" s="60" t="s">
        <v>319</v>
      </c>
      <c r="E346" s="108" t="s">
        <v>171</v>
      </c>
      <c r="F346" s="575" t="s">
        <v>274</v>
      </c>
      <c r="G346" s="576"/>
      <c r="H346" s="199">
        <f>SUM(H347)</f>
        <v>11</v>
      </c>
    </row>
    <row r="347" spans="2:8" s="54" customFormat="1" ht="15">
      <c r="B347" s="345"/>
      <c r="C347" s="346"/>
      <c r="D347" s="430" t="s">
        <v>320</v>
      </c>
      <c r="E347" s="56" t="s">
        <v>171</v>
      </c>
      <c r="F347" s="562">
        <v>11</v>
      </c>
      <c r="G347" s="563"/>
      <c r="H347" s="206">
        <f>F347</f>
        <v>11</v>
      </c>
    </row>
    <row r="348" spans="2:8" s="54" customFormat="1" ht="15.75">
      <c r="B348" s="347" t="s">
        <v>321</v>
      </c>
      <c r="C348" s="354" t="s">
        <v>322</v>
      </c>
      <c r="D348" s="60" t="s">
        <v>323</v>
      </c>
      <c r="E348" s="108" t="s">
        <v>171</v>
      </c>
      <c r="F348" s="575" t="s">
        <v>274</v>
      </c>
      <c r="G348" s="576"/>
      <c r="H348" s="199">
        <f>SUM(H349)</f>
        <v>6</v>
      </c>
    </row>
    <row r="349" spans="2:8" s="54" customFormat="1" ht="15.75">
      <c r="B349" s="345"/>
      <c r="C349" s="346"/>
      <c r="D349" s="430" t="s">
        <v>320</v>
      </c>
      <c r="E349" s="432" t="s">
        <v>171</v>
      </c>
      <c r="F349" s="562">
        <v>6</v>
      </c>
      <c r="G349" s="563"/>
      <c r="H349" s="431">
        <f>F349</f>
        <v>6</v>
      </c>
    </row>
    <row r="350" spans="2:8" s="54" customFormat="1" ht="15.75">
      <c r="B350" s="634" t="s">
        <v>324</v>
      </c>
      <c r="C350" s="635"/>
      <c r="D350" s="636"/>
      <c r="E350" s="636"/>
      <c r="F350" s="636"/>
      <c r="G350" s="637"/>
      <c r="H350" s="299" t="s">
        <v>13</v>
      </c>
    </row>
    <row r="351" spans="2:8" s="54" customFormat="1" ht="15.75">
      <c r="B351" s="363" t="s">
        <v>325</v>
      </c>
      <c r="C351" s="292">
        <v>82301</v>
      </c>
      <c r="D351" s="97" t="s">
        <v>326</v>
      </c>
      <c r="E351" s="108" t="s">
        <v>177</v>
      </c>
      <c r="F351" s="575" t="s">
        <v>18</v>
      </c>
      <c r="G351" s="576"/>
      <c r="H351" s="199">
        <f>H352</f>
        <v>9</v>
      </c>
    </row>
    <row r="352" spans="2:8" s="54" customFormat="1" ht="15">
      <c r="B352" s="590"/>
      <c r="C352" s="547"/>
      <c r="D352" s="57" t="s">
        <v>258</v>
      </c>
      <c r="E352" s="56" t="s">
        <v>177</v>
      </c>
      <c r="F352" s="587">
        <v>9</v>
      </c>
      <c r="G352" s="587"/>
      <c r="H352" s="206">
        <f>F352</f>
        <v>9</v>
      </c>
    </row>
    <row r="353" spans="2:8" s="54" customFormat="1" ht="15.75">
      <c r="B353" s="361" t="s">
        <v>327</v>
      </c>
      <c r="C353" s="362">
        <v>82302</v>
      </c>
      <c r="D353" s="97" t="s">
        <v>328</v>
      </c>
      <c r="E353" s="108" t="s">
        <v>177</v>
      </c>
      <c r="F353" s="575" t="s">
        <v>274</v>
      </c>
      <c r="G353" s="576"/>
      <c r="H353" s="199">
        <f>H354</f>
        <v>9</v>
      </c>
    </row>
    <row r="354" spans="2:8" s="54" customFormat="1" ht="15">
      <c r="B354" s="551"/>
      <c r="C354" s="552"/>
      <c r="D354" s="57" t="s">
        <v>258</v>
      </c>
      <c r="E354" s="56" t="s">
        <v>177</v>
      </c>
      <c r="F354" s="588">
        <v>9</v>
      </c>
      <c r="G354" s="589"/>
      <c r="H354" s="206">
        <f>F354</f>
        <v>9</v>
      </c>
    </row>
    <row r="355" spans="2:8" s="54" customFormat="1" ht="15.75">
      <c r="B355" s="347" t="s">
        <v>329</v>
      </c>
      <c r="C355" s="292">
        <v>82304</v>
      </c>
      <c r="D355" s="97" t="s">
        <v>330</v>
      </c>
      <c r="E355" s="108" t="s">
        <v>177</v>
      </c>
      <c r="F355" s="575" t="s">
        <v>18</v>
      </c>
      <c r="G355" s="576"/>
      <c r="H355" s="199">
        <f>H356</f>
        <v>9</v>
      </c>
    </row>
    <row r="356" spans="2:8" s="54" customFormat="1" ht="15">
      <c r="B356" s="546"/>
      <c r="C356" s="547"/>
      <c r="D356" s="57" t="s">
        <v>258</v>
      </c>
      <c r="E356" s="56" t="s">
        <v>177</v>
      </c>
      <c r="F356" s="587">
        <v>9</v>
      </c>
      <c r="G356" s="587"/>
      <c r="H356" s="493">
        <f>F356</f>
        <v>9</v>
      </c>
    </row>
    <row r="357" spans="2:8" s="54" customFormat="1" ht="15.75">
      <c r="B357" s="347" t="s">
        <v>331</v>
      </c>
      <c r="C357" s="292">
        <v>81825</v>
      </c>
      <c r="D357" s="97" t="s">
        <v>332</v>
      </c>
      <c r="E357" s="108" t="s">
        <v>171</v>
      </c>
      <c r="F357" s="561" t="s">
        <v>274</v>
      </c>
      <c r="G357" s="561"/>
      <c r="H357" s="199">
        <f>H358</f>
        <v>1</v>
      </c>
    </row>
    <row r="358" spans="2:8" s="54" customFormat="1" ht="15">
      <c r="B358" s="546"/>
      <c r="C358" s="547"/>
      <c r="D358" s="57" t="s">
        <v>258</v>
      </c>
      <c r="E358" s="56" t="s">
        <v>171</v>
      </c>
      <c r="F358" s="588">
        <v>1</v>
      </c>
      <c r="G358" s="589"/>
      <c r="H358" s="206">
        <f>F358</f>
        <v>1</v>
      </c>
    </row>
    <row r="359" spans="2:8" s="54" customFormat="1" ht="15.75">
      <c r="B359" s="347" t="s">
        <v>333</v>
      </c>
      <c r="C359" s="292">
        <v>81826</v>
      </c>
      <c r="D359" s="97" t="s">
        <v>334</v>
      </c>
      <c r="E359" s="108" t="s">
        <v>171</v>
      </c>
      <c r="F359" s="561" t="s">
        <v>274</v>
      </c>
      <c r="G359" s="561"/>
      <c r="H359" s="199">
        <f>H360</f>
        <v>1</v>
      </c>
    </row>
    <row r="360" spans="2:8" s="54" customFormat="1" ht="15">
      <c r="B360" s="546"/>
      <c r="C360" s="547"/>
      <c r="D360" s="57" t="s">
        <v>258</v>
      </c>
      <c r="E360" s="56" t="s">
        <v>171</v>
      </c>
      <c r="F360" s="587">
        <v>1</v>
      </c>
      <c r="G360" s="587"/>
      <c r="H360" s="206">
        <f>F360</f>
        <v>1</v>
      </c>
    </row>
    <row r="361" spans="2:8" s="54" customFormat="1" ht="15.75">
      <c r="B361" s="347" t="s">
        <v>335</v>
      </c>
      <c r="C361" s="292">
        <v>81935</v>
      </c>
      <c r="D361" s="97" t="s">
        <v>336</v>
      </c>
      <c r="E361" s="108" t="s">
        <v>171</v>
      </c>
      <c r="F361" s="561" t="s">
        <v>274</v>
      </c>
      <c r="G361" s="561"/>
      <c r="H361" s="199">
        <f>H362</f>
        <v>6</v>
      </c>
    </row>
    <row r="362" spans="2:8" s="54" customFormat="1" ht="15">
      <c r="B362" s="546"/>
      <c r="C362" s="547"/>
      <c r="D362" s="57" t="s">
        <v>258</v>
      </c>
      <c r="E362" s="56" t="s">
        <v>171</v>
      </c>
      <c r="F362" s="565">
        <v>6</v>
      </c>
      <c r="G362" s="565"/>
      <c r="H362" s="206">
        <f>F362</f>
        <v>6</v>
      </c>
    </row>
    <row r="363" spans="2:8" s="54" customFormat="1" ht="15.75">
      <c r="B363" s="347" t="s">
        <v>337</v>
      </c>
      <c r="C363" s="292">
        <v>82201</v>
      </c>
      <c r="D363" s="97" t="s">
        <v>338</v>
      </c>
      <c r="E363" s="108" t="s">
        <v>171</v>
      </c>
      <c r="F363" s="561" t="s">
        <v>274</v>
      </c>
      <c r="G363" s="561"/>
      <c r="H363" s="199">
        <f>H364</f>
        <v>3</v>
      </c>
    </row>
    <row r="364" spans="2:8" s="54" customFormat="1" ht="15">
      <c r="B364" s="546"/>
      <c r="C364" s="547"/>
      <c r="D364" s="57" t="s">
        <v>258</v>
      </c>
      <c r="E364" s="56" t="s">
        <v>171</v>
      </c>
      <c r="F364" s="565">
        <v>3</v>
      </c>
      <c r="G364" s="565"/>
      <c r="H364" s="206">
        <f>F364</f>
        <v>3</v>
      </c>
    </row>
    <row r="365" spans="2:8" s="54" customFormat="1" ht="15.75">
      <c r="B365" s="347" t="s">
        <v>339</v>
      </c>
      <c r="C365" s="292" t="s">
        <v>340</v>
      </c>
      <c r="D365" s="97" t="s">
        <v>341</v>
      </c>
      <c r="E365" s="108" t="s">
        <v>171</v>
      </c>
      <c r="F365" s="561" t="s">
        <v>274</v>
      </c>
      <c r="G365" s="561"/>
      <c r="H365" s="199">
        <f>H366</f>
        <v>6</v>
      </c>
    </row>
    <row r="366" spans="2:8" s="54" customFormat="1" ht="15">
      <c r="B366" s="546"/>
      <c r="C366" s="547"/>
      <c r="D366" s="57" t="s">
        <v>258</v>
      </c>
      <c r="E366" s="56" t="s">
        <v>171</v>
      </c>
      <c r="F366" s="565">
        <v>6</v>
      </c>
      <c r="G366" s="565"/>
      <c r="H366" s="206">
        <f>F366</f>
        <v>6</v>
      </c>
    </row>
    <row r="367" spans="2:8" s="54" customFormat="1" ht="15.75">
      <c r="B367" s="347" t="s">
        <v>342</v>
      </c>
      <c r="C367" s="292">
        <v>81701</v>
      </c>
      <c r="D367" s="97" t="s">
        <v>343</v>
      </c>
      <c r="E367" s="108" t="s">
        <v>171</v>
      </c>
      <c r="F367" s="561" t="s">
        <v>274</v>
      </c>
      <c r="G367" s="561"/>
      <c r="H367" s="199">
        <f>H368</f>
        <v>2</v>
      </c>
    </row>
    <row r="368" spans="2:8" s="54" customFormat="1" ht="15">
      <c r="B368" s="546"/>
      <c r="C368" s="547"/>
      <c r="D368" s="57" t="s">
        <v>258</v>
      </c>
      <c r="E368" s="56" t="s">
        <v>171</v>
      </c>
      <c r="F368" s="587">
        <v>2</v>
      </c>
      <c r="G368" s="587"/>
      <c r="H368" s="206">
        <f>F368</f>
        <v>2</v>
      </c>
    </row>
    <row r="369" spans="2:8" s="54" customFormat="1" ht="15.75">
      <c r="B369" s="347" t="s">
        <v>344</v>
      </c>
      <c r="C369" s="292">
        <v>81702</v>
      </c>
      <c r="D369" s="97" t="s">
        <v>345</v>
      </c>
      <c r="E369" s="108" t="s">
        <v>171</v>
      </c>
      <c r="F369" s="561" t="s">
        <v>274</v>
      </c>
      <c r="G369" s="561"/>
      <c r="H369" s="199">
        <f>H370</f>
        <v>2</v>
      </c>
    </row>
    <row r="370" spans="2:8" s="54" customFormat="1" ht="15">
      <c r="B370" s="546"/>
      <c r="C370" s="547"/>
      <c r="D370" s="57" t="s">
        <v>258</v>
      </c>
      <c r="E370" s="56" t="s">
        <v>171</v>
      </c>
      <c r="F370" s="587">
        <v>2</v>
      </c>
      <c r="G370" s="587"/>
      <c r="H370" s="206">
        <f>F370</f>
        <v>2</v>
      </c>
    </row>
    <row r="371" spans="2:8" s="54" customFormat="1" ht="15.75">
      <c r="B371" s="347" t="s">
        <v>346</v>
      </c>
      <c r="C371" s="354">
        <v>81922</v>
      </c>
      <c r="D371" s="97" t="s">
        <v>347</v>
      </c>
      <c r="E371" s="108" t="s">
        <v>171</v>
      </c>
      <c r="F371" s="561" t="s">
        <v>274</v>
      </c>
      <c r="G371" s="561"/>
      <c r="H371" s="199">
        <f>H372</f>
        <v>2</v>
      </c>
    </row>
    <row r="372" spans="2:8" s="54" customFormat="1" ht="15">
      <c r="B372" s="546"/>
      <c r="C372" s="547"/>
      <c r="D372" s="57" t="s">
        <v>258</v>
      </c>
      <c r="E372" s="56" t="s">
        <v>171</v>
      </c>
      <c r="F372" s="587">
        <v>2</v>
      </c>
      <c r="G372" s="587"/>
      <c r="H372" s="206">
        <f>F372</f>
        <v>2</v>
      </c>
    </row>
    <row r="373" spans="2:8" s="54" customFormat="1" ht="15.75">
      <c r="B373" s="347" t="s">
        <v>348</v>
      </c>
      <c r="C373" s="292">
        <v>81938</v>
      </c>
      <c r="D373" s="97" t="s">
        <v>349</v>
      </c>
      <c r="E373" s="108" t="s">
        <v>171</v>
      </c>
      <c r="F373" s="561" t="s">
        <v>274</v>
      </c>
      <c r="G373" s="561"/>
      <c r="H373" s="199">
        <f>H374</f>
        <v>6</v>
      </c>
    </row>
    <row r="374" spans="2:8" s="54" customFormat="1" ht="15">
      <c r="B374" s="546"/>
      <c r="C374" s="547"/>
      <c r="D374" s="57" t="s">
        <v>258</v>
      </c>
      <c r="E374" s="56" t="s">
        <v>171</v>
      </c>
      <c r="F374" s="587">
        <v>6</v>
      </c>
      <c r="G374" s="587"/>
      <c r="H374" s="206">
        <f>F374</f>
        <v>6</v>
      </c>
    </row>
    <row r="375" spans="2:8" s="54" customFormat="1" ht="15.75">
      <c r="B375" s="347" t="s">
        <v>350</v>
      </c>
      <c r="C375" s="354" t="s">
        <v>351</v>
      </c>
      <c r="D375" s="97" t="s">
        <v>352</v>
      </c>
      <c r="E375" s="108" t="s">
        <v>171</v>
      </c>
      <c r="F375" s="561" t="s">
        <v>274</v>
      </c>
      <c r="G375" s="561"/>
      <c r="H375" s="199">
        <f>H376</f>
        <v>2</v>
      </c>
    </row>
    <row r="376" spans="2:8" s="54" customFormat="1" ht="15">
      <c r="B376" s="546"/>
      <c r="C376" s="547"/>
      <c r="D376" s="57" t="s">
        <v>258</v>
      </c>
      <c r="E376" s="56" t="s">
        <v>171</v>
      </c>
      <c r="F376" s="587">
        <v>2</v>
      </c>
      <c r="G376" s="587"/>
      <c r="H376" s="206">
        <f>F376</f>
        <v>2</v>
      </c>
    </row>
    <row r="377" spans="2:8" s="54" customFormat="1" ht="15.75">
      <c r="B377" s="347" t="s">
        <v>353</v>
      </c>
      <c r="C377" s="292" t="s">
        <v>354</v>
      </c>
      <c r="D377" s="97" t="s">
        <v>355</v>
      </c>
      <c r="E377" s="108" t="s">
        <v>171</v>
      </c>
      <c r="F377" s="561" t="s">
        <v>274</v>
      </c>
      <c r="G377" s="561"/>
      <c r="H377" s="199">
        <f>H378</f>
        <v>4</v>
      </c>
    </row>
    <row r="378" spans="2:8" s="54" customFormat="1" ht="15">
      <c r="B378" s="546"/>
      <c r="C378" s="547"/>
      <c r="D378" s="57" t="s">
        <v>258</v>
      </c>
      <c r="E378" s="56" t="s">
        <v>171</v>
      </c>
      <c r="F378" s="587">
        <v>4</v>
      </c>
      <c r="G378" s="587"/>
      <c r="H378" s="206">
        <f>F378</f>
        <v>4</v>
      </c>
    </row>
    <row r="379" spans="2:8" s="54" customFormat="1" ht="15.75">
      <c r="B379" s="347" t="s">
        <v>356</v>
      </c>
      <c r="C379" s="292">
        <v>81936</v>
      </c>
      <c r="D379" s="97" t="s">
        <v>357</v>
      </c>
      <c r="E379" s="108" t="s">
        <v>171</v>
      </c>
      <c r="F379" s="561" t="s">
        <v>274</v>
      </c>
      <c r="G379" s="561"/>
      <c r="H379" s="199">
        <f>H380</f>
        <v>3</v>
      </c>
    </row>
    <row r="380" spans="2:8" s="54" customFormat="1" ht="15">
      <c r="B380" s="546"/>
      <c r="C380" s="547"/>
      <c r="D380" s="57" t="s">
        <v>258</v>
      </c>
      <c r="E380" s="56" t="s">
        <v>171</v>
      </c>
      <c r="F380" s="565">
        <v>3</v>
      </c>
      <c r="G380" s="565"/>
      <c r="H380" s="206">
        <f>F380</f>
        <v>3</v>
      </c>
    </row>
    <row r="381" spans="2:8" s="54" customFormat="1" ht="15.75">
      <c r="B381" s="347" t="s">
        <v>358</v>
      </c>
      <c r="C381" s="292">
        <v>82233</v>
      </c>
      <c r="D381" s="97" t="s">
        <v>359</v>
      </c>
      <c r="E381" s="108" t="s">
        <v>171</v>
      </c>
      <c r="F381" s="561" t="s">
        <v>274</v>
      </c>
      <c r="G381" s="561"/>
      <c r="H381" s="199">
        <f>H382</f>
        <v>4</v>
      </c>
    </row>
    <row r="382" spans="2:8" s="54" customFormat="1" ht="15">
      <c r="B382" s="546"/>
      <c r="C382" s="547"/>
      <c r="D382" s="57" t="s">
        <v>258</v>
      </c>
      <c r="E382" s="56" t="s">
        <v>171</v>
      </c>
      <c r="F382" s="565">
        <v>4</v>
      </c>
      <c r="G382" s="565"/>
      <c r="H382" s="206">
        <f>F382</f>
        <v>4</v>
      </c>
    </row>
    <row r="383" spans="2:8" s="54" customFormat="1" ht="15.75">
      <c r="B383" s="347" t="s">
        <v>360</v>
      </c>
      <c r="C383" s="292" t="s">
        <v>361</v>
      </c>
      <c r="D383" s="97" t="s">
        <v>362</v>
      </c>
      <c r="E383" s="108" t="s">
        <v>171</v>
      </c>
      <c r="F383" s="561" t="s">
        <v>274</v>
      </c>
      <c r="G383" s="561"/>
      <c r="H383" s="199">
        <f>SUM(H384:H384)</f>
        <v>3</v>
      </c>
    </row>
    <row r="384" spans="2:8" s="54" customFormat="1" ht="15">
      <c r="B384" s="544"/>
      <c r="C384" s="545"/>
      <c r="D384" s="57" t="s">
        <v>363</v>
      </c>
      <c r="E384" s="56" t="s">
        <v>171</v>
      </c>
      <c r="F384" s="580">
        <v>3</v>
      </c>
      <c r="G384" s="563"/>
      <c r="H384" s="206">
        <f>F384</f>
        <v>3</v>
      </c>
    </row>
    <row r="385" spans="1:8" s="54" customFormat="1" ht="15.75">
      <c r="B385" s="354" t="s">
        <v>364</v>
      </c>
      <c r="C385" s="354" t="s">
        <v>365</v>
      </c>
      <c r="D385" s="60" t="s">
        <v>366</v>
      </c>
      <c r="E385" s="61" t="s">
        <v>171</v>
      </c>
      <c r="F385" s="561" t="s">
        <v>274</v>
      </c>
      <c r="G385" s="561"/>
      <c r="H385" s="291">
        <f>H386</f>
        <v>1</v>
      </c>
    </row>
    <row r="386" spans="1:8" s="54" customFormat="1" ht="15">
      <c r="B386" s="593"/>
      <c r="C386" s="557"/>
      <c r="D386" s="57" t="s">
        <v>258</v>
      </c>
      <c r="E386" s="56" t="s">
        <v>171</v>
      </c>
      <c r="F386" s="580">
        <v>1</v>
      </c>
      <c r="G386" s="563"/>
      <c r="H386" s="206">
        <f>F386</f>
        <v>1</v>
      </c>
    </row>
    <row r="387" spans="1:8" s="54" customFormat="1" ht="15.75">
      <c r="B387" s="643" t="s">
        <v>367</v>
      </c>
      <c r="C387" s="636"/>
      <c r="D387" s="636"/>
      <c r="E387" s="636"/>
      <c r="F387" s="636"/>
      <c r="G387" s="637"/>
      <c r="H387" s="207" t="s">
        <v>13</v>
      </c>
    </row>
    <row r="388" spans="1:8" s="54" customFormat="1" ht="15.75">
      <c r="B388" s="347" t="s">
        <v>368</v>
      </c>
      <c r="C388" s="292" t="s">
        <v>369</v>
      </c>
      <c r="D388" s="97" t="s">
        <v>370</v>
      </c>
      <c r="E388" s="108" t="s">
        <v>171</v>
      </c>
      <c r="F388" s="561" t="s">
        <v>274</v>
      </c>
      <c r="G388" s="561"/>
      <c r="H388" s="199">
        <f>H389</f>
        <v>3</v>
      </c>
    </row>
    <row r="389" spans="1:8" s="54" customFormat="1" ht="15">
      <c r="B389" s="546"/>
      <c r="C389" s="547"/>
      <c r="D389" s="57" t="s">
        <v>371</v>
      </c>
      <c r="E389" s="56" t="s">
        <v>171</v>
      </c>
      <c r="F389" s="565">
        <v>3</v>
      </c>
      <c r="G389" s="565"/>
      <c r="H389" s="206">
        <f>F389</f>
        <v>3</v>
      </c>
    </row>
    <row r="390" spans="1:8" s="54" customFormat="1" ht="15.75">
      <c r="B390" s="347" t="s">
        <v>372</v>
      </c>
      <c r="C390" s="292">
        <v>81938</v>
      </c>
      <c r="D390" s="97" t="s">
        <v>349</v>
      </c>
      <c r="E390" s="108" t="s">
        <v>171</v>
      </c>
      <c r="F390" s="561" t="s">
        <v>274</v>
      </c>
      <c r="G390" s="561"/>
      <c r="H390" s="199">
        <f>H391</f>
        <v>6</v>
      </c>
    </row>
    <row r="391" spans="1:8" s="54" customFormat="1" ht="15">
      <c r="B391" s="546"/>
      <c r="C391" s="547"/>
      <c r="D391" s="57" t="s">
        <v>373</v>
      </c>
      <c r="E391" s="56" t="s">
        <v>171</v>
      </c>
      <c r="F391" s="565">
        <v>6</v>
      </c>
      <c r="G391" s="565"/>
      <c r="H391" s="206">
        <f>F391</f>
        <v>6</v>
      </c>
    </row>
    <row r="392" spans="1:8" s="54" customFormat="1" ht="15.75">
      <c r="B392" s="347" t="s">
        <v>374</v>
      </c>
      <c r="C392" s="292">
        <v>82235</v>
      </c>
      <c r="D392" s="97" t="s">
        <v>375</v>
      </c>
      <c r="E392" s="108" t="s">
        <v>171</v>
      </c>
      <c r="F392" s="561" t="s">
        <v>274</v>
      </c>
      <c r="G392" s="561"/>
      <c r="H392" s="199">
        <f>H393</f>
        <v>2</v>
      </c>
    </row>
    <row r="393" spans="1:8" s="54" customFormat="1" ht="15">
      <c r="B393" s="544"/>
      <c r="C393" s="545"/>
      <c r="D393" s="57" t="s">
        <v>373</v>
      </c>
      <c r="E393" s="56" t="s">
        <v>171</v>
      </c>
      <c r="F393" s="565">
        <v>2</v>
      </c>
      <c r="G393" s="565"/>
      <c r="H393" s="206">
        <f>F393</f>
        <v>2</v>
      </c>
    </row>
    <row r="394" spans="1:8" s="54" customFormat="1" ht="15.75">
      <c r="B394" s="347" t="s">
        <v>376</v>
      </c>
      <c r="C394" s="354">
        <v>82004</v>
      </c>
      <c r="D394" s="66" t="s">
        <v>377</v>
      </c>
      <c r="E394" s="108" t="s">
        <v>171</v>
      </c>
      <c r="F394" s="561" t="s">
        <v>274</v>
      </c>
      <c r="G394" s="561"/>
      <c r="H394" s="199">
        <f>H395</f>
        <v>2</v>
      </c>
    </row>
    <row r="395" spans="1:8" s="54" customFormat="1" ht="15">
      <c r="B395" s="544"/>
      <c r="C395" s="545"/>
      <c r="D395" s="57" t="s">
        <v>373</v>
      </c>
      <c r="E395" s="56" t="s">
        <v>171</v>
      </c>
      <c r="F395" s="565">
        <v>2</v>
      </c>
      <c r="G395" s="565"/>
      <c r="H395" s="206">
        <f>F395</f>
        <v>2</v>
      </c>
    </row>
    <row r="396" spans="1:8" s="54" customFormat="1" ht="15.75">
      <c r="B396" s="347" t="s">
        <v>378</v>
      </c>
      <c r="C396" s="292">
        <v>82304</v>
      </c>
      <c r="D396" s="97" t="s">
        <v>330</v>
      </c>
      <c r="E396" s="108" t="s">
        <v>177</v>
      </c>
      <c r="F396" s="575" t="s">
        <v>18</v>
      </c>
      <c r="G396" s="576"/>
      <c r="H396" s="199">
        <f>H397</f>
        <v>9</v>
      </c>
    </row>
    <row r="397" spans="1:8" s="54" customFormat="1" ht="15">
      <c r="B397" s="544"/>
      <c r="C397" s="545"/>
      <c r="D397" s="57" t="s">
        <v>379</v>
      </c>
      <c r="E397" s="56" t="s">
        <v>171</v>
      </c>
      <c r="F397" s="565">
        <v>9</v>
      </c>
      <c r="G397" s="565"/>
      <c r="H397" s="206">
        <f>F397</f>
        <v>9</v>
      </c>
    </row>
    <row r="398" spans="1:8" s="54" customFormat="1" ht="15.75">
      <c r="B398" s="567" t="s">
        <v>380</v>
      </c>
      <c r="C398" s="564"/>
      <c r="D398" s="568"/>
      <c r="E398" s="568"/>
      <c r="F398" s="568"/>
      <c r="G398" s="568"/>
      <c r="H398" s="569"/>
    </row>
    <row r="399" spans="1:8" s="54" customFormat="1" ht="15.75">
      <c r="B399" s="353" t="s">
        <v>381</v>
      </c>
      <c r="C399" s="290">
        <v>100000</v>
      </c>
      <c r="D399" s="564" t="s">
        <v>382</v>
      </c>
      <c r="E399" s="564"/>
      <c r="F399" s="564"/>
      <c r="G399" s="564"/>
      <c r="H399" s="202" t="s">
        <v>50</v>
      </c>
    </row>
    <row r="400" spans="1:8" s="54" customFormat="1" ht="19.5">
      <c r="A400" s="93"/>
      <c r="B400" s="347" t="s">
        <v>383</v>
      </c>
      <c r="C400" s="292">
        <v>100160</v>
      </c>
      <c r="D400" s="470" t="s">
        <v>384</v>
      </c>
      <c r="E400" s="108" t="s">
        <v>17</v>
      </c>
      <c r="F400" s="250" t="s">
        <v>18</v>
      </c>
      <c r="G400" s="250" t="s">
        <v>41</v>
      </c>
      <c r="H400" s="199">
        <f>SUM(H401:H410)</f>
        <v>722.94</v>
      </c>
    </row>
    <row r="401" spans="2:8" s="54" customFormat="1" ht="15.75">
      <c r="B401" s="355"/>
      <c r="C401" s="356"/>
      <c r="D401" s="417" t="s">
        <v>385</v>
      </c>
      <c r="E401" s="418" t="s">
        <v>17</v>
      </c>
      <c r="F401" s="178">
        <v>22.8</v>
      </c>
      <c r="G401" s="178">
        <v>3</v>
      </c>
      <c r="H401" s="519">
        <f>G401*F401</f>
        <v>68.400000000000006</v>
      </c>
    </row>
    <row r="402" spans="2:8" s="54" customFormat="1" ht="15">
      <c r="B402" s="348"/>
      <c r="C402" s="349"/>
      <c r="D402" s="419" t="s">
        <v>386</v>
      </c>
      <c r="E402" s="56" t="s">
        <v>17</v>
      </c>
      <c r="F402" s="125">
        <v>0.8</v>
      </c>
      <c r="G402" s="125">
        <v>2.1</v>
      </c>
      <c r="H402" s="206">
        <f>(-F402*G402)*2</f>
        <v>-3.3600000000000003</v>
      </c>
    </row>
    <row r="403" spans="2:8" s="54" customFormat="1" ht="15">
      <c r="B403" s="348"/>
      <c r="C403" s="349"/>
      <c r="D403" s="57" t="s">
        <v>387</v>
      </c>
      <c r="E403" s="56" t="s">
        <v>17</v>
      </c>
      <c r="F403" s="125">
        <v>1.8</v>
      </c>
      <c r="G403" s="125">
        <v>2.1</v>
      </c>
      <c r="H403" s="206">
        <f>(-F403*G403)*1</f>
        <v>-3.7800000000000002</v>
      </c>
    </row>
    <row r="404" spans="2:8" s="54" customFormat="1" ht="15.75">
      <c r="B404" s="348"/>
      <c r="C404" s="349"/>
      <c r="D404" s="417" t="s">
        <v>388</v>
      </c>
      <c r="E404" s="418" t="s">
        <v>17</v>
      </c>
      <c r="F404" s="178">
        <v>22.8</v>
      </c>
      <c r="G404" s="178">
        <v>3</v>
      </c>
      <c r="H404" s="520">
        <f>G404*F404</f>
        <v>68.400000000000006</v>
      </c>
    </row>
    <row r="405" spans="2:8" s="54" customFormat="1" ht="15">
      <c r="B405" s="348"/>
      <c r="C405" s="349"/>
      <c r="D405" s="419" t="s">
        <v>386</v>
      </c>
      <c r="E405" s="56" t="s">
        <v>17</v>
      </c>
      <c r="F405" s="125">
        <v>0.8</v>
      </c>
      <c r="G405" s="125">
        <v>2.1</v>
      </c>
      <c r="H405" s="206">
        <f>(-F405*G405)*2</f>
        <v>-3.3600000000000003</v>
      </c>
    </row>
    <row r="406" spans="2:8" s="54" customFormat="1" ht="15">
      <c r="B406" s="348"/>
      <c r="C406" s="349"/>
      <c r="D406" s="57" t="s">
        <v>387</v>
      </c>
      <c r="E406" s="56" t="s">
        <v>17</v>
      </c>
      <c r="F406" s="125">
        <v>1.8</v>
      </c>
      <c r="G406" s="125">
        <v>0.8</v>
      </c>
      <c r="H406" s="206">
        <f>(-F406*G406)*3</f>
        <v>-4.32</v>
      </c>
    </row>
    <row r="407" spans="2:8" s="54" customFormat="1" ht="15.75">
      <c r="B407" s="348"/>
      <c r="C407" s="349"/>
      <c r="D407" s="417" t="s">
        <v>159</v>
      </c>
      <c r="E407" s="56" t="s">
        <v>17</v>
      </c>
      <c r="F407" s="274">
        <v>5.2</v>
      </c>
      <c r="G407" s="274">
        <v>3</v>
      </c>
      <c r="H407" s="521">
        <f>F407*G407</f>
        <v>15.600000000000001</v>
      </c>
    </row>
    <row r="408" spans="2:8" s="54" customFormat="1" ht="15">
      <c r="B408" s="348"/>
      <c r="C408" s="425"/>
      <c r="D408" s="419" t="s">
        <v>386</v>
      </c>
      <c r="E408" s="56" t="s">
        <v>17</v>
      </c>
      <c r="F408" s="178">
        <v>0.8</v>
      </c>
      <c r="G408" s="178">
        <v>2.1</v>
      </c>
      <c r="H408" s="200">
        <f>-G408*F408*3</f>
        <v>-5.0400000000000009</v>
      </c>
    </row>
    <row r="409" spans="2:8" s="54" customFormat="1" ht="15">
      <c r="B409" s="348"/>
      <c r="C409" s="425"/>
      <c r="D409" s="57" t="s">
        <v>387</v>
      </c>
      <c r="E409" s="56" t="s">
        <v>17</v>
      </c>
      <c r="F409" s="178">
        <v>0.8</v>
      </c>
      <c r="G409" s="178">
        <v>0.5</v>
      </c>
      <c r="H409" s="200">
        <f>-G409*F409</f>
        <v>-0.4</v>
      </c>
    </row>
    <row r="410" spans="2:8" s="54" customFormat="1" ht="15.75">
      <c r="B410" s="508"/>
      <c r="C410" s="509"/>
      <c r="D410" s="518" t="s">
        <v>389</v>
      </c>
      <c r="E410" s="514" t="s">
        <v>17</v>
      </c>
      <c r="F410" s="517">
        <v>28</v>
      </c>
      <c r="G410" s="517">
        <v>21.1</v>
      </c>
      <c r="H410" s="522">
        <f>F410*G410</f>
        <v>590.80000000000007</v>
      </c>
    </row>
    <row r="411" spans="2:8" s="54" customFormat="1" ht="19.5">
      <c r="B411" s="347" t="s">
        <v>390</v>
      </c>
      <c r="C411" s="292">
        <v>100320</v>
      </c>
      <c r="D411" s="470" t="s">
        <v>391</v>
      </c>
      <c r="E411" s="108" t="s">
        <v>17</v>
      </c>
      <c r="F411" s="176" t="s">
        <v>18</v>
      </c>
      <c r="G411" s="176" t="s">
        <v>41</v>
      </c>
      <c r="H411" s="199">
        <f>SUM(H412)</f>
        <v>1.62</v>
      </c>
    </row>
    <row r="412" spans="2:8" s="54" customFormat="1" ht="15.75">
      <c r="B412" s="639"/>
      <c r="C412" s="640"/>
      <c r="D412" s="419" t="s">
        <v>392</v>
      </c>
      <c r="E412" s="420" t="s">
        <v>17</v>
      </c>
      <c r="F412" s="125">
        <v>0.9</v>
      </c>
      <c r="G412" s="125">
        <v>1.8</v>
      </c>
      <c r="H412" s="201">
        <f>G412*F412</f>
        <v>1.62</v>
      </c>
    </row>
    <row r="413" spans="2:8" s="54" customFormat="1" ht="19.5">
      <c r="B413" s="347" t="s">
        <v>393</v>
      </c>
      <c r="C413" s="292">
        <v>100502</v>
      </c>
      <c r="D413" s="506" t="s">
        <v>394</v>
      </c>
      <c r="E413" s="503" t="s">
        <v>17</v>
      </c>
      <c r="F413" s="504" t="s">
        <v>18</v>
      </c>
      <c r="G413" s="504" t="s">
        <v>41</v>
      </c>
      <c r="H413" s="505">
        <f>SUM(H414)</f>
        <v>9.6000000000000014</v>
      </c>
    </row>
    <row r="414" spans="2:8" s="54" customFormat="1" ht="15.75">
      <c r="B414" s="500"/>
      <c r="C414" s="501"/>
      <c r="D414" s="419" t="s">
        <v>395</v>
      </c>
      <c r="E414" s="420" t="s">
        <v>17</v>
      </c>
      <c r="F414" s="125">
        <v>3.2</v>
      </c>
      <c r="G414" s="125">
        <v>3</v>
      </c>
      <c r="H414" s="201">
        <f>G414*F414</f>
        <v>9.6000000000000014</v>
      </c>
    </row>
    <row r="415" spans="2:8" s="54" customFormat="1" ht="15.75">
      <c r="B415" s="567" t="s">
        <v>396</v>
      </c>
      <c r="C415" s="564"/>
      <c r="D415" s="568"/>
      <c r="E415" s="568"/>
      <c r="F415" s="568"/>
      <c r="G415" s="568"/>
      <c r="H415" s="569"/>
    </row>
    <row r="416" spans="2:8" s="54" customFormat="1" ht="15.75">
      <c r="B416" s="353" t="s">
        <v>397</v>
      </c>
      <c r="C416" s="290">
        <v>120000</v>
      </c>
      <c r="D416" s="564" t="s">
        <v>398</v>
      </c>
      <c r="E416" s="564"/>
      <c r="F416" s="564"/>
      <c r="G416" s="564"/>
      <c r="H416" s="202" t="s">
        <v>50</v>
      </c>
    </row>
    <row r="417" spans="2:8" s="54" customFormat="1" ht="19.5">
      <c r="B417" s="347" t="s">
        <v>399</v>
      </c>
      <c r="C417" s="292">
        <v>120107</v>
      </c>
      <c r="D417" s="469" t="s">
        <v>400</v>
      </c>
      <c r="E417" s="108" t="s">
        <v>17</v>
      </c>
      <c r="F417" s="176" t="s">
        <v>18</v>
      </c>
      <c r="G417" s="176" t="s">
        <v>19</v>
      </c>
      <c r="H417" s="199">
        <f>H418+H422</f>
        <v>104.9</v>
      </c>
    </row>
    <row r="418" spans="2:8" s="54" customFormat="1" ht="15.75">
      <c r="B418" s="548"/>
      <c r="C418" s="549"/>
      <c r="D418" s="109" t="s">
        <v>401</v>
      </c>
      <c r="E418" s="106" t="s">
        <v>17</v>
      </c>
      <c r="F418" s="107" t="s">
        <v>18</v>
      </c>
      <c r="G418" s="107" t="s">
        <v>19</v>
      </c>
      <c r="H418" s="208">
        <f>SUM(H419:H421)</f>
        <v>75.2</v>
      </c>
    </row>
    <row r="419" spans="2:8" s="54" customFormat="1" ht="15">
      <c r="B419" s="548"/>
      <c r="C419" s="549"/>
      <c r="D419" s="57" t="s">
        <v>157</v>
      </c>
      <c r="E419" s="452" t="s">
        <v>17</v>
      </c>
      <c r="F419" s="274">
        <v>6.7</v>
      </c>
      <c r="G419" s="274">
        <v>4.7</v>
      </c>
      <c r="H419" s="200">
        <f>G419*F419</f>
        <v>31.490000000000002</v>
      </c>
    </row>
    <row r="420" spans="2:8" s="54" customFormat="1" ht="15">
      <c r="B420" s="548"/>
      <c r="C420" s="549"/>
      <c r="D420" s="57" t="s">
        <v>158</v>
      </c>
      <c r="E420" s="452" t="s">
        <v>17</v>
      </c>
      <c r="F420" s="274">
        <v>4.7</v>
      </c>
      <c r="G420" s="274">
        <v>6.7</v>
      </c>
      <c r="H420" s="200">
        <f t="shared" ref="H420:H421" si="26">G420*F420</f>
        <v>31.490000000000002</v>
      </c>
    </row>
    <row r="421" spans="2:8" s="54" customFormat="1" ht="15">
      <c r="B421" s="548"/>
      <c r="C421" s="549"/>
      <c r="D421" s="57" t="s">
        <v>159</v>
      </c>
      <c r="E421" s="149" t="s">
        <v>17</v>
      </c>
      <c r="F421" s="274">
        <v>4.7</v>
      </c>
      <c r="G421" s="274">
        <v>2.6</v>
      </c>
      <c r="H421" s="200">
        <f t="shared" si="26"/>
        <v>12.22</v>
      </c>
    </row>
    <row r="422" spans="2:8" s="54" customFormat="1" ht="15.75">
      <c r="B422" s="548"/>
      <c r="C422" s="549"/>
      <c r="D422" s="109" t="s">
        <v>402</v>
      </c>
      <c r="E422" s="106" t="s">
        <v>17</v>
      </c>
      <c r="F422" s="107" t="s">
        <v>18</v>
      </c>
      <c r="G422" s="107" t="s">
        <v>19</v>
      </c>
      <c r="H422" s="208">
        <f>SUM(H423:H425)</f>
        <v>29.699999999999996</v>
      </c>
    </row>
    <row r="423" spans="2:8" s="54" customFormat="1" ht="15">
      <c r="B423" s="548"/>
      <c r="C423" s="549"/>
      <c r="D423" s="57" t="s">
        <v>157</v>
      </c>
      <c r="E423" s="149" t="s">
        <v>17</v>
      </c>
      <c r="F423" s="178">
        <v>21.9</v>
      </c>
      <c r="G423" s="178">
        <v>0.3</v>
      </c>
      <c r="H423" s="198">
        <f>F423*G423*2</f>
        <v>13.139999999999999</v>
      </c>
    </row>
    <row r="424" spans="2:8" s="54" customFormat="1" ht="15">
      <c r="B424" s="548"/>
      <c r="C424" s="549"/>
      <c r="D424" s="57" t="s">
        <v>158</v>
      </c>
      <c r="E424" s="149" t="s">
        <v>17</v>
      </c>
      <c r="F424" s="178">
        <v>4.9000000000000004</v>
      </c>
      <c r="G424" s="178">
        <v>0.3</v>
      </c>
      <c r="H424" s="198">
        <f t="shared" ref="H424:H425" si="27">F424*G424*2</f>
        <v>2.94</v>
      </c>
    </row>
    <row r="425" spans="2:8" s="54" customFormat="1" ht="15">
      <c r="B425" s="548"/>
      <c r="C425" s="549"/>
      <c r="D425" s="57" t="s">
        <v>159</v>
      </c>
      <c r="E425" s="149" t="s">
        <v>17</v>
      </c>
      <c r="F425" s="178">
        <v>22.7</v>
      </c>
      <c r="G425" s="178">
        <v>0.3</v>
      </c>
      <c r="H425" s="198">
        <f t="shared" si="27"/>
        <v>13.62</v>
      </c>
    </row>
    <row r="426" spans="2:8" s="54" customFormat="1" ht="19.5">
      <c r="B426" s="347" t="s">
        <v>403</v>
      </c>
      <c r="C426" s="292" t="s">
        <v>404</v>
      </c>
      <c r="D426" s="469" t="s">
        <v>405</v>
      </c>
      <c r="E426" s="108" t="s">
        <v>17</v>
      </c>
      <c r="F426" s="176" t="s">
        <v>18</v>
      </c>
      <c r="G426" s="176" t="s">
        <v>41</v>
      </c>
      <c r="H426" s="199">
        <f>SUM(H427:H436)</f>
        <v>727.08</v>
      </c>
    </row>
    <row r="427" spans="2:8" s="54" customFormat="1" ht="15.75">
      <c r="B427" s="355"/>
      <c r="C427" s="356"/>
      <c r="D427" s="417" t="s">
        <v>385</v>
      </c>
      <c r="E427" s="418" t="s">
        <v>17</v>
      </c>
      <c r="F427" s="178">
        <v>22.8</v>
      </c>
      <c r="G427" s="178">
        <v>3</v>
      </c>
      <c r="H427" s="519">
        <f>G427*F427</f>
        <v>68.400000000000006</v>
      </c>
    </row>
    <row r="428" spans="2:8" s="54" customFormat="1" ht="15">
      <c r="B428" s="348"/>
      <c r="C428" s="349"/>
      <c r="D428" s="419" t="s">
        <v>386</v>
      </c>
      <c r="E428" s="56" t="s">
        <v>17</v>
      </c>
      <c r="F428" s="125">
        <v>0.8</v>
      </c>
      <c r="G428" s="125">
        <v>2.1</v>
      </c>
      <c r="H428" s="206">
        <f>(-F428*G428)*2</f>
        <v>-3.3600000000000003</v>
      </c>
    </row>
    <row r="429" spans="2:8" s="54" customFormat="1" ht="15">
      <c r="B429" s="348"/>
      <c r="C429" s="349"/>
      <c r="D429" s="57" t="s">
        <v>387</v>
      </c>
      <c r="E429" s="56" t="s">
        <v>17</v>
      </c>
      <c r="F429" s="125">
        <v>1.8</v>
      </c>
      <c r="G429" s="125">
        <v>2.1</v>
      </c>
      <c r="H429" s="206">
        <f>(-F429*G429)*1</f>
        <v>-3.7800000000000002</v>
      </c>
    </row>
    <row r="430" spans="2:8" s="54" customFormat="1" ht="15.75">
      <c r="B430" s="348"/>
      <c r="C430" s="349"/>
      <c r="D430" s="417" t="s">
        <v>388</v>
      </c>
      <c r="E430" s="418" t="s">
        <v>17</v>
      </c>
      <c r="F430" s="178">
        <v>22.8</v>
      </c>
      <c r="G430" s="178">
        <v>3</v>
      </c>
      <c r="H430" s="520">
        <f>G430*F430</f>
        <v>68.400000000000006</v>
      </c>
    </row>
    <row r="431" spans="2:8" s="54" customFormat="1" ht="15">
      <c r="B431" s="348"/>
      <c r="C431" s="349"/>
      <c r="D431" s="419" t="s">
        <v>386</v>
      </c>
      <c r="E431" s="56" t="s">
        <v>17</v>
      </c>
      <c r="F431" s="125">
        <v>0.8</v>
      </c>
      <c r="G431" s="125">
        <v>2.1</v>
      </c>
      <c r="H431" s="206">
        <f>(-F431*G431)*2</f>
        <v>-3.3600000000000003</v>
      </c>
    </row>
    <row r="432" spans="2:8" s="54" customFormat="1" ht="15">
      <c r="B432" s="348"/>
      <c r="C432" s="349"/>
      <c r="D432" s="57" t="s">
        <v>387</v>
      </c>
      <c r="E432" s="56" t="s">
        <v>17</v>
      </c>
      <c r="F432" s="125">
        <v>1.8</v>
      </c>
      <c r="G432" s="125">
        <v>0.8</v>
      </c>
      <c r="H432" s="206">
        <f>(-F432*G432)*3</f>
        <v>-4.32</v>
      </c>
    </row>
    <row r="433" spans="2:8" s="54" customFormat="1" ht="15.75">
      <c r="B433" s="348"/>
      <c r="C433" s="349"/>
      <c r="D433" s="417" t="s">
        <v>159</v>
      </c>
      <c r="E433" s="56" t="s">
        <v>17</v>
      </c>
      <c r="F433" s="274">
        <v>5.2</v>
      </c>
      <c r="G433" s="274">
        <v>3</v>
      </c>
      <c r="H433" s="521">
        <f t="shared" ref="H433" si="28">F433*G433</f>
        <v>15.600000000000001</v>
      </c>
    </row>
    <row r="434" spans="2:8" s="54" customFormat="1" ht="15">
      <c r="B434" s="348"/>
      <c r="C434" s="349"/>
      <c r="D434" s="419" t="s">
        <v>386</v>
      </c>
      <c r="E434" s="56" t="s">
        <v>17</v>
      </c>
      <c r="F434" s="178">
        <v>0.6</v>
      </c>
      <c r="G434" s="178">
        <v>0.5</v>
      </c>
      <c r="H434" s="200">
        <f>-G434*F434*3</f>
        <v>-0.89999999999999991</v>
      </c>
    </row>
    <row r="435" spans="2:8" s="54" customFormat="1" ht="15">
      <c r="B435" s="348"/>
      <c r="C435" s="349"/>
      <c r="D435" s="57" t="s">
        <v>387</v>
      </c>
      <c r="E435" s="56" t="s">
        <v>17</v>
      </c>
      <c r="F435" s="178">
        <v>0.8</v>
      </c>
      <c r="G435" s="178">
        <v>0.5</v>
      </c>
      <c r="H435" s="200">
        <f>-G435*F435</f>
        <v>-0.4</v>
      </c>
    </row>
    <row r="436" spans="2:8" s="54" customFormat="1" ht="15.75">
      <c r="B436" s="348"/>
      <c r="C436" s="349"/>
      <c r="D436" s="518" t="s">
        <v>389</v>
      </c>
      <c r="E436" s="514" t="s">
        <v>17</v>
      </c>
      <c r="F436" s="517">
        <v>28</v>
      </c>
      <c r="G436" s="517">
        <v>21.1</v>
      </c>
      <c r="H436" s="522">
        <f t="shared" ref="H436" si="29">F436*G436</f>
        <v>590.80000000000007</v>
      </c>
    </row>
    <row r="437" spans="2:8" s="54" customFormat="1" ht="15.75">
      <c r="B437" s="567" t="s">
        <v>406</v>
      </c>
      <c r="C437" s="564"/>
      <c r="D437" s="568"/>
      <c r="E437" s="568"/>
      <c r="F437" s="568"/>
      <c r="G437" s="568"/>
      <c r="H437" s="569"/>
    </row>
    <row r="438" spans="2:8" s="54" customFormat="1" ht="15.75">
      <c r="B438" s="353" t="s">
        <v>407</v>
      </c>
      <c r="C438" s="290">
        <v>140000</v>
      </c>
      <c r="D438" s="559" t="s">
        <v>408</v>
      </c>
      <c r="E438" s="554"/>
      <c r="F438" s="554"/>
      <c r="G438" s="560"/>
      <c r="H438" s="202" t="s">
        <v>13</v>
      </c>
    </row>
    <row r="439" spans="2:8" s="54" customFormat="1" ht="19.5">
      <c r="B439" s="347" t="s">
        <v>409</v>
      </c>
      <c r="C439" s="292">
        <v>140201</v>
      </c>
      <c r="D439" s="539" t="s">
        <v>410</v>
      </c>
      <c r="E439" s="61" t="s">
        <v>17</v>
      </c>
      <c r="F439" s="176" t="s">
        <v>18</v>
      </c>
      <c r="G439" s="176" t="s">
        <v>19</v>
      </c>
      <c r="H439" s="176">
        <f>SUM(H440:H443)</f>
        <v>98.240000000000009</v>
      </c>
    </row>
    <row r="440" spans="2:8" s="54" customFormat="1" ht="15">
      <c r="B440" s="544"/>
      <c r="C440" s="545"/>
      <c r="D440" s="210" t="s">
        <v>157</v>
      </c>
      <c r="E440" s="149" t="s">
        <v>17</v>
      </c>
      <c r="F440" s="274">
        <v>6.7</v>
      </c>
      <c r="G440" s="274">
        <v>4.7</v>
      </c>
      <c r="H440" s="268">
        <f>F440*G440</f>
        <v>31.490000000000002</v>
      </c>
    </row>
    <row r="441" spans="2:8" s="54" customFormat="1" ht="15">
      <c r="B441" s="548"/>
      <c r="C441" s="549"/>
      <c r="D441" s="210" t="s">
        <v>158</v>
      </c>
      <c r="E441" s="149" t="s">
        <v>17</v>
      </c>
      <c r="F441" s="274">
        <v>4.7</v>
      </c>
      <c r="G441" s="274">
        <v>6.7</v>
      </c>
      <c r="H441" s="268">
        <f t="shared" ref="H441:H443" si="30">F441*G441</f>
        <v>31.490000000000002</v>
      </c>
    </row>
    <row r="442" spans="2:8" s="54" customFormat="1" ht="15">
      <c r="B442" s="548"/>
      <c r="C442" s="549"/>
      <c r="D442" s="210" t="s">
        <v>159</v>
      </c>
      <c r="E442" s="149" t="s">
        <v>17</v>
      </c>
      <c r="F442" s="274">
        <v>4.7</v>
      </c>
      <c r="G442" s="274">
        <v>2.6</v>
      </c>
      <c r="H442" s="268">
        <f t="shared" si="30"/>
        <v>12.22</v>
      </c>
    </row>
    <row r="443" spans="2:8" s="54" customFormat="1" ht="15">
      <c r="B443" s="551"/>
      <c r="C443" s="552"/>
      <c r="D443" s="210" t="s">
        <v>160</v>
      </c>
      <c r="E443" s="149" t="s">
        <v>17</v>
      </c>
      <c r="F443" s="274">
        <v>11.52</v>
      </c>
      <c r="G443" s="274">
        <v>2</v>
      </c>
      <c r="H443" s="268">
        <f t="shared" si="30"/>
        <v>23.04</v>
      </c>
    </row>
    <row r="444" spans="2:8" s="54" customFormat="1" ht="39">
      <c r="B444" s="347" t="s">
        <v>411</v>
      </c>
      <c r="C444" s="292" t="s">
        <v>412</v>
      </c>
      <c r="D444" s="469" t="s">
        <v>413</v>
      </c>
      <c r="E444" s="61" t="s">
        <v>17</v>
      </c>
      <c r="F444" s="176" t="s">
        <v>18</v>
      </c>
      <c r="G444" s="176" t="s">
        <v>19</v>
      </c>
      <c r="H444" s="199">
        <f>SUM(H445:H448)</f>
        <v>98.240000000000009</v>
      </c>
    </row>
    <row r="445" spans="2:8" s="54" customFormat="1" ht="15">
      <c r="B445" s="583"/>
      <c r="C445" s="584"/>
      <c r="D445" s="210" t="s">
        <v>157</v>
      </c>
      <c r="E445" s="149" t="s">
        <v>17</v>
      </c>
      <c r="F445" s="274">
        <v>6.7</v>
      </c>
      <c r="G445" s="274">
        <v>4.7</v>
      </c>
      <c r="H445" s="268">
        <f>F445*G445</f>
        <v>31.490000000000002</v>
      </c>
    </row>
    <row r="446" spans="2:8" s="54" customFormat="1" ht="15">
      <c r="B446" s="585"/>
      <c r="C446" s="586"/>
      <c r="D446" s="210" t="s">
        <v>158</v>
      </c>
      <c r="E446" s="149" t="s">
        <v>17</v>
      </c>
      <c r="F446" s="274">
        <v>4.7</v>
      </c>
      <c r="G446" s="274">
        <v>6.7</v>
      </c>
      <c r="H446" s="268">
        <f t="shared" ref="H446:H448" si="31">F446*G446</f>
        <v>31.490000000000002</v>
      </c>
    </row>
    <row r="447" spans="2:8" s="54" customFormat="1" ht="15">
      <c r="B447" s="585"/>
      <c r="C447" s="586"/>
      <c r="D447" s="210" t="s">
        <v>159</v>
      </c>
      <c r="E447" s="149" t="s">
        <v>17</v>
      </c>
      <c r="F447" s="274">
        <v>4.7</v>
      </c>
      <c r="G447" s="274">
        <v>2.6</v>
      </c>
      <c r="H447" s="268">
        <f t="shared" si="31"/>
        <v>12.22</v>
      </c>
    </row>
    <row r="448" spans="2:8" s="54" customFormat="1" ht="15">
      <c r="B448" s="498"/>
      <c r="C448" s="499"/>
      <c r="D448" s="210" t="s">
        <v>160</v>
      </c>
      <c r="E448" s="149" t="s">
        <v>17</v>
      </c>
      <c r="F448" s="274">
        <v>11.52</v>
      </c>
      <c r="G448" s="274">
        <v>2</v>
      </c>
      <c r="H448" s="268">
        <f t="shared" si="31"/>
        <v>23.04</v>
      </c>
    </row>
    <row r="449" spans="2:8" s="54" customFormat="1" ht="15.75">
      <c r="B449" s="567" t="s">
        <v>414</v>
      </c>
      <c r="C449" s="564"/>
      <c r="D449" s="568"/>
      <c r="E449" s="568"/>
      <c r="F449" s="568"/>
      <c r="G449" s="568"/>
      <c r="H449" s="569"/>
    </row>
    <row r="450" spans="2:8" s="54" customFormat="1" ht="15.75">
      <c r="B450" s="353" t="s">
        <v>415</v>
      </c>
      <c r="C450" s="290">
        <v>160000</v>
      </c>
      <c r="D450" s="559" t="s">
        <v>416</v>
      </c>
      <c r="E450" s="554"/>
      <c r="F450" s="554"/>
      <c r="G450" s="560"/>
      <c r="H450" s="202" t="s">
        <v>13</v>
      </c>
    </row>
    <row r="451" spans="2:8" s="54" customFormat="1" ht="19.5">
      <c r="B451" s="347" t="s">
        <v>417</v>
      </c>
      <c r="C451" s="354" t="s">
        <v>418</v>
      </c>
      <c r="D451" s="470" t="s">
        <v>419</v>
      </c>
      <c r="E451" s="108" t="s">
        <v>177</v>
      </c>
      <c r="F451" s="561" t="s">
        <v>18</v>
      </c>
      <c r="G451" s="561"/>
      <c r="H451" s="199">
        <f>SUM(H452:H452)</f>
        <v>20</v>
      </c>
    </row>
    <row r="452" spans="2:8" s="54" customFormat="1" ht="15">
      <c r="B452" s="544"/>
      <c r="C452" s="545"/>
      <c r="D452" s="429" t="s">
        <v>420</v>
      </c>
      <c r="E452" s="56" t="s">
        <v>177</v>
      </c>
      <c r="F452" s="565">
        <v>20</v>
      </c>
      <c r="G452" s="565"/>
      <c r="H452" s="206">
        <f>F452</f>
        <v>20</v>
      </c>
    </row>
    <row r="453" spans="2:8" s="54" customFormat="1" ht="19.5">
      <c r="B453" s="347" t="s">
        <v>421</v>
      </c>
      <c r="C453" s="354">
        <v>160602</v>
      </c>
      <c r="D453" s="470" t="s">
        <v>422</v>
      </c>
      <c r="E453" s="108" t="s">
        <v>177</v>
      </c>
      <c r="F453" s="561" t="s">
        <v>18</v>
      </c>
      <c r="G453" s="561"/>
      <c r="H453" s="199">
        <f>SUM(H454:H454)</f>
        <v>23.650000000000002</v>
      </c>
    </row>
    <row r="454" spans="2:8" s="54" customFormat="1" ht="15">
      <c r="B454" s="544"/>
      <c r="C454" s="545"/>
      <c r="D454" s="210" t="s">
        <v>423</v>
      </c>
      <c r="E454" s="56" t="s">
        <v>177</v>
      </c>
      <c r="F454" s="562">
        <f>15+6.8+1.85</f>
        <v>23.650000000000002</v>
      </c>
      <c r="G454" s="563"/>
      <c r="H454" s="206">
        <f>F454</f>
        <v>23.650000000000002</v>
      </c>
    </row>
    <row r="455" spans="2:8" s="54" customFormat="1" ht="19.5">
      <c r="B455" s="347" t="s">
        <v>424</v>
      </c>
      <c r="C455" s="292">
        <v>160501</v>
      </c>
      <c r="D455" s="502" t="s">
        <v>425</v>
      </c>
      <c r="E455" s="61" t="s">
        <v>17</v>
      </c>
      <c r="F455" s="176" t="s">
        <v>18</v>
      </c>
      <c r="G455" s="176" t="s">
        <v>19</v>
      </c>
      <c r="H455" s="199">
        <f>SUM(H456:H459)</f>
        <v>98.240000000000009</v>
      </c>
    </row>
    <row r="456" spans="2:8" s="54" customFormat="1" ht="15">
      <c r="B456" s="496"/>
      <c r="C456" s="497"/>
      <c r="D456" s="210" t="s">
        <v>157</v>
      </c>
      <c r="E456" s="149" t="s">
        <v>17</v>
      </c>
      <c r="F456" s="274">
        <v>6.7</v>
      </c>
      <c r="G456" s="274">
        <v>4.7</v>
      </c>
      <c r="H456" s="268">
        <f>F456*G456</f>
        <v>31.490000000000002</v>
      </c>
    </row>
    <row r="457" spans="2:8" s="54" customFormat="1" ht="15">
      <c r="B457" s="496"/>
      <c r="C457" s="497"/>
      <c r="D457" s="210" t="s">
        <v>158</v>
      </c>
      <c r="E457" s="149" t="s">
        <v>17</v>
      </c>
      <c r="F457" s="274">
        <v>4.7</v>
      </c>
      <c r="G457" s="274">
        <v>6.7</v>
      </c>
      <c r="H457" s="268">
        <f t="shared" ref="H457:H458" si="32">F457*G457</f>
        <v>31.490000000000002</v>
      </c>
    </row>
    <row r="458" spans="2:8" s="54" customFormat="1" ht="15">
      <c r="B458" s="496"/>
      <c r="C458" s="497"/>
      <c r="D458" s="210" t="s">
        <v>159</v>
      </c>
      <c r="E458" s="149" t="s">
        <v>17</v>
      </c>
      <c r="F458" s="274">
        <v>4.7</v>
      </c>
      <c r="G458" s="274">
        <v>2.6</v>
      </c>
      <c r="H458" s="268">
        <f t="shared" si="32"/>
        <v>12.22</v>
      </c>
    </row>
    <row r="459" spans="2:8" s="54" customFormat="1" ht="15">
      <c r="B459" s="496"/>
      <c r="C459" s="497"/>
      <c r="D459" s="210" t="s">
        <v>160</v>
      </c>
      <c r="E459" s="149" t="s">
        <v>17</v>
      </c>
      <c r="F459" s="274">
        <v>11.52</v>
      </c>
      <c r="G459" s="274">
        <v>2</v>
      </c>
      <c r="H459" s="268">
        <f t="shared" ref="H459" si="33">F459*G459</f>
        <v>23.04</v>
      </c>
    </row>
    <row r="460" spans="2:8" s="54" customFormat="1" ht="15.75">
      <c r="B460" s="567" t="s">
        <v>426</v>
      </c>
      <c r="C460" s="564"/>
      <c r="D460" s="568"/>
      <c r="E460" s="568"/>
      <c r="F460" s="568"/>
      <c r="G460" s="568"/>
      <c r="H460" s="569"/>
    </row>
    <row r="461" spans="2:8" s="54" customFormat="1" ht="15.75">
      <c r="B461" s="353" t="s">
        <v>427</v>
      </c>
      <c r="C461" s="290">
        <v>170000</v>
      </c>
      <c r="D461" s="559" t="s">
        <v>428</v>
      </c>
      <c r="E461" s="554"/>
      <c r="F461" s="554"/>
      <c r="G461" s="560"/>
      <c r="H461" s="202" t="s">
        <v>50</v>
      </c>
    </row>
    <row r="462" spans="2:8" s="54" customFormat="1" ht="19.5">
      <c r="B462" s="347" t="s">
        <v>429</v>
      </c>
      <c r="C462" s="292">
        <v>170103</v>
      </c>
      <c r="D462" s="469" t="s">
        <v>430</v>
      </c>
      <c r="E462" s="61" t="s">
        <v>171</v>
      </c>
      <c r="F462" s="579" t="s">
        <v>274</v>
      </c>
      <c r="G462" s="579"/>
      <c r="H462" s="199">
        <f>SUM(H463:H464)</f>
        <v>2</v>
      </c>
    </row>
    <row r="463" spans="2:8" s="54" customFormat="1" ht="15">
      <c r="B463" s="546"/>
      <c r="C463" s="547"/>
      <c r="D463" s="419" t="s">
        <v>157</v>
      </c>
      <c r="E463" s="418" t="s">
        <v>171</v>
      </c>
      <c r="F463" s="574">
        <v>1</v>
      </c>
      <c r="G463" s="574"/>
      <c r="H463" s="426">
        <f>F463</f>
        <v>1</v>
      </c>
    </row>
    <row r="464" spans="2:8" s="54" customFormat="1" ht="15">
      <c r="B464" s="546"/>
      <c r="C464" s="547"/>
      <c r="D464" s="419" t="s">
        <v>158</v>
      </c>
      <c r="E464" s="418" t="s">
        <v>171</v>
      </c>
      <c r="F464" s="574">
        <v>1</v>
      </c>
      <c r="G464" s="574"/>
      <c r="H464" s="426">
        <f>F464</f>
        <v>1</v>
      </c>
    </row>
    <row r="465" spans="2:8" s="54" customFormat="1" ht="19.5">
      <c r="B465" s="347" t="s">
        <v>431</v>
      </c>
      <c r="C465" s="292" t="s">
        <v>432</v>
      </c>
      <c r="D465" s="469" t="s">
        <v>433</v>
      </c>
      <c r="E465" s="61" t="s">
        <v>171</v>
      </c>
      <c r="F465" s="577" t="s">
        <v>274</v>
      </c>
      <c r="G465" s="578"/>
      <c r="H465" s="199">
        <f>SUM(H466:H466)</f>
        <v>1</v>
      </c>
    </row>
    <row r="466" spans="2:8" s="54" customFormat="1" ht="15.75">
      <c r="B466" s="540"/>
      <c r="C466" s="541"/>
      <c r="D466" s="419" t="s">
        <v>159</v>
      </c>
      <c r="E466" s="418" t="s">
        <v>171</v>
      </c>
      <c r="F466" s="572">
        <v>1</v>
      </c>
      <c r="G466" s="573"/>
      <c r="H466" s="201">
        <f>F466</f>
        <v>1</v>
      </c>
    </row>
    <row r="467" spans="2:8" s="54" customFormat="1" ht="15.75">
      <c r="B467" s="353" t="s">
        <v>434</v>
      </c>
      <c r="C467" s="290">
        <v>180000</v>
      </c>
      <c r="D467" s="564" t="s">
        <v>435</v>
      </c>
      <c r="E467" s="564"/>
      <c r="F467" s="564"/>
      <c r="G467" s="564"/>
      <c r="H467" s="202" t="s">
        <v>50</v>
      </c>
    </row>
    <row r="468" spans="2:8" s="54" customFormat="1" ht="39">
      <c r="B468" s="347" t="s">
        <v>436</v>
      </c>
      <c r="C468" s="354" t="s">
        <v>437</v>
      </c>
      <c r="D468" s="469" t="s">
        <v>438</v>
      </c>
      <c r="E468" s="108" t="s">
        <v>17</v>
      </c>
      <c r="F468" s="176" t="s">
        <v>18</v>
      </c>
      <c r="G468" s="176" t="s">
        <v>41</v>
      </c>
      <c r="H468" s="428">
        <f>H469+H470</f>
        <v>5.7600000000000007</v>
      </c>
    </row>
    <row r="469" spans="2:8" s="54" customFormat="1" ht="15.75">
      <c r="B469" s="355"/>
      <c r="C469" s="356"/>
      <c r="D469" s="419" t="s">
        <v>439</v>
      </c>
      <c r="E469" s="427" t="s">
        <v>17</v>
      </c>
      <c r="F469" s="125">
        <v>1.8</v>
      </c>
      <c r="G469" s="125">
        <v>0.8</v>
      </c>
      <c r="H469" s="426">
        <f>G469*F469</f>
        <v>1.4400000000000002</v>
      </c>
    </row>
    <row r="470" spans="2:8" s="54" customFormat="1" ht="15">
      <c r="B470" s="348"/>
      <c r="C470" s="349"/>
      <c r="D470" s="419" t="s">
        <v>440</v>
      </c>
      <c r="E470" s="418" t="s">
        <v>17</v>
      </c>
      <c r="F470" s="125">
        <v>1.8</v>
      </c>
      <c r="G470" s="125">
        <v>0.8</v>
      </c>
      <c r="H470" s="426">
        <f>G470*F470*3</f>
        <v>4.32</v>
      </c>
    </row>
    <row r="471" spans="2:8" s="54" customFormat="1" ht="19.5">
      <c r="B471" s="347" t="s">
        <v>441</v>
      </c>
      <c r="C471" s="354" t="s">
        <v>442</v>
      </c>
      <c r="D471" s="469" t="s">
        <v>443</v>
      </c>
      <c r="E471" s="108" t="s">
        <v>17</v>
      </c>
      <c r="F471" s="176" t="s">
        <v>18</v>
      </c>
      <c r="G471" s="176" t="s">
        <v>41</v>
      </c>
      <c r="H471" s="199">
        <f>H472</f>
        <v>0.4</v>
      </c>
    </row>
    <row r="472" spans="2:8" s="54" customFormat="1" ht="15.75">
      <c r="B472" s="348"/>
      <c r="C472" s="349"/>
      <c r="D472" s="419" t="s">
        <v>444</v>
      </c>
      <c r="E472" s="427" t="s">
        <v>17</v>
      </c>
      <c r="F472" s="177">
        <v>0.8</v>
      </c>
      <c r="G472" s="177">
        <v>0.5</v>
      </c>
      <c r="H472" s="426">
        <f>G472*F472</f>
        <v>0.4</v>
      </c>
    </row>
    <row r="473" spans="2:8" s="54" customFormat="1" ht="19.5">
      <c r="B473" s="347" t="s">
        <v>445</v>
      </c>
      <c r="C473" s="354" t="s">
        <v>446</v>
      </c>
      <c r="D473" s="538" t="s">
        <v>447</v>
      </c>
      <c r="E473" s="108" t="s">
        <v>17</v>
      </c>
      <c r="F473" s="176" t="s">
        <v>18</v>
      </c>
      <c r="G473" s="176" t="s">
        <v>41</v>
      </c>
      <c r="H473" s="199">
        <f>H474</f>
        <v>0.36</v>
      </c>
    </row>
    <row r="474" spans="2:8" s="54" customFormat="1" ht="15.75">
      <c r="B474" s="348"/>
      <c r="C474" s="349"/>
      <c r="D474" s="535" t="s">
        <v>448</v>
      </c>
      <c r="E474" s="427" t="s">
        <v>17</v>
      </c>
      <c r="F474" s="536">
        <v>0.6</v>
      </c>
      <c r="G474" s="536">
        <v>0.6</v>
      </c>
      <c r="H474" s="537">
        <f>G474*F474</f>
        <v>0.36</v>
      </c>
    </row>
    <row r="475" spans="2:8" s="54" customFormat="1" ht="15.75">
      <c r="B475" s="641" t="s">
        <v>449</v>
      </c>
      <c r="C475" s="642"/>
      <c r="D475" s="620"/>
      <c r="E475" s="620"/>
      <c r="F475" s="620"/>
      <c r="G475" s="620"/>
      <c r="H475" s="621"/>
    </row>
    <row r="476" spans="2:8" s="54" customFormat="1" ht="15.75">
      <c r="B476" s="353" t="s">
        <v>450</v>
      </c>
      <c r="C476" s="290">
        <v>200000</v>
      </c>
      <c r="D476" s="564" t="s">
        <v>451</v>
      </c>
      <c r="E476" s="564"/>
      <c r="F476" s="564"/>
      <c r="G476" s="564"/>
      <c r="H476" s="202" t="s">
        <v>50</v>
      </c>
    </row>
    <row r="477" spans="2:8" s="54" customFormat="1" ht="19.5">
      <c r="B477" s="347" t="s">
        <v>452</v>
      </c>
      <c r="C477" s="354">
        <v>201302</v>
      </c>
      <c r="D477" s="468" t="s">
        <v>453</v>
      </c>
      <c r="E477" s="108" t="s">
        <v>17</v>
      </c>
      <c r="F477" s="176" t="s">
        <v>18</v>
      </c>
      <c r="G477" s="176" t="s">
        <v>41</v>
      </c>
      <c r="H477" s="199">
        <f>SUM(H478:H480)</f>
        <v>41.4</v>
      </c>
    </row>
    <row r="478" spans="2:8" s="54" customFormat="1" ht="15.75">
      <c r="B478" s="544"/>
      <c r="C478" s="566"/>
      <c r="D478" s="523" t="s">
        <v>159</v>
      </c>
      <c r="E478" s="149" t="s">
        <v>17</v>
      </c>
      <c r="F478" s="178">
        <v>14.6</v>
      </c>
      <c r="G478" s="178">
        <v>3</v>
      </c>
      <c r="H478" s="200">
        <f>G478*F478</f>
        <v>43.8</v>
      </c>
    </row>
    <row r="479" spans="2:8" s="54" customFormat="1" ht="15">
      <c r="B479" s="548"/>
      <c r="C479" s="550"/>
      <c r="D479" s="52" t="s">
        <v>454</v>
      </c>
      <c r="E479" s="149" t="s">
        <v>17</v>
      </c>
      <c r="F479" s="178">
        <v>0.6</v>
      </c>
      <c r="G479" s="178">
        <v>0.5</v>
      </c>
      <c r="H479" s="200">
        <f>-G479*F479</f>
        <v>-0.3</v>
      </c>
    </row>
    <row r="480" spans="2:8" s="54" customFormat="1" ht="15">
      <c r="B480" s="548"/>
      <c r="C480" s="550"/>
      <c r="D480" s="52" t="s">
        <v>455</v>
      </c>
      <c r="E480" s="149" t="s">
        <v>17</v>
      </c>
      <c r="F480" s="178">
        <v>1</v>
      </c>
      <c r="G480" s="178">
        <v>2.1</v>
      </c>
      <c r="H480" s="200">
        <f>-G480*F480</f>
        <v>-2.1</v>
      </c>
    </row>
    <row r="481" spans="1:8" s="93" customFormat="1" ht="15.6" customHeight="1">
      <c r="A481" s="54"/>
      <c r="B481" s="347" t="s">
        <v>456</v>
      </c>
      <c r="C481" s="292">
        <v>200101</v>
      </c>
      <c r="D481" s="468" t="s">
        <v>457</v>
      </c>
      <c r="E481" s="108" t="s">
        <v>17</v>
      </c>
      <c r="F481" s="176" t="s">
        <v>18</v>
      </c>
      <c r="G481" s="176" t="s">
        <v>41</v>
      </c>
      <c r="H481" s="199">
        <f>SUM(H482:H491)</f>
        <v>884.08</v>
      </c>
    </row>
    <row r="482" spans="1:8" s="54" customFormat="1" ht="15.75">
      <c r="B482" s="544"/>
      <c r="C482" s="545"/>
      <c r="D482" s="523" t="s">
        <v>157</v>
      </c>
      <c r="E482" s="149" t="s">
        <v>17</v>
      </c>
      <c r="F482" s="178">
        <v>22.8</v>
      </c>
      <c r="G482" s="178">
        <v>3</v>
      </c>
      <c r="H482" s="200">
        <f>G482*F482*2</f>
        <v>136.80000000000001</v>
      </c>
    </row>
    <row r="483" spans="1:8" s="54" customFormat="1" ht="15">
      <c r="B483" s="548"/>
      <c r="C483" s="549"/>
      <c r="D483" s="52" t="s">
        <v>454</v>
      </c>
      <c r="E483" s="149" t="s">
        <v>17</v>
      </c>
      <c r="F483" s="178">
        <v>1.8</v>
      </c>
      <c r="G483" s="178">
        <v>0.8</v>
      </c>
      <c r="H483" s="200">
        <f>-G483*F483</f>
        <v>-1.4400000000000002</v>
      </c>
    </row>
    <row r="484" spans="1:8" s="54" customFormat="1" ht="15">
      <c r="A484" s="93"/>
      <c r="B484" s="548"/>
      <c r="C484" s="549"/>
      <c r="D484" s="52" t="s">
        <v>455</v>
      </c>
      <c r="E484" s="149" t="s">
        <v>17</v>
      </c>
      <c r="F484" s="178">
        <v>0.8</v>
      </c>
      <c r="G484" s="178">
        <v>2.1</v>
      </c>
      <c r="H484" s="200">
        <f>-G484*F484</f>
        <v>-1.6800000000000002</v>
      </c>
    </row>
    <row r="485" spans="1:8" s="93" customFormat="1" ht="15.75">
      <c r="A485" s="54"/>
      <c r="B485" s="548"/>
      <c r="C485" s="549"/>
      <c r="D485" s="523" t="s">
        <v>158</v>
      </c>
      <c r="E485" s="149" t="s">
        <v>17</v>
      </c>
      <c r="F485" s="178">
        <v>22.8</v>
      </c>
      <c r="G485" s="178">
        <v>3</v>
      </c>
      <c r="H485" s="200">
        <f>G485*F485*2</f>
        <v>136.80000000000001</v>
      </c>
    </row>
    <row r="486" spans="1:8" s="54" customFormat="1" ht="15">
      <c r="B486" s="548"/>
      <c r="C486" s="549"/>
      <c r="D486" s="52" t="s">
        <v>454</v>
      </c>
      <c r="E486" s="149" t="s">
        <v>17</v>
      </c>
      <c r="F486" s="178">
        <v>1.8</v>
      </c>
      <c r="G486" s="178">
        <v>0.8</v>
      </c>
      <c r="H486" s="200">
        <f>-G486*F486*3</f>
        <v>-4.32</v>
      </c>
    </row>
    <row r="487" spans="1:8" s="54" customFormat="1" ht="15">
      <c r="B487" s="548"/>
      <c r="C487" s="549"/>
      <c r="D487" s="52" t="s">
        <v>455</v>
      </c>
      <c r="E487" s="149" t="s">
        <v>17</v>
      </c>
      <c r="F487" s="178">
        <v>0.8</v>
      </c>
      <c r="G487" s="178">
        <v>2.1</v>
      </c>
      <c r="H487" s="200">
        <f>-G487*F487</f>
        <v>-1.6800000000000002</v>
      </c>
    </row>
    <row r="488" spans="1:8" s="54" customFormat="1" ht="15.75">
      <c r="A488" s="93"/>
      <c r="B488" s="548"/>
      <c r="C488" s="549"/>
      <c r="D488" s="523" t="s">
        <v>159</v>
      </c>
      <c r="E488" s="149" t="s">
        <v>17</v>
      </c>
      <c r="F488" s="178">
        <v>5.2</v>
      </c>
      <c r="G488" s="178">
        <v>3</v>
      </c>
      <c r="H488" s="200">
        <f>G488*F488*2</f>
        <v>31.200000000000003</v>
      </c>
    </row>
    <row r="489" spans="1:8" s="54" customFormat="1" ht="15">
      <c r="A489" s="93"/>
      <c r="B489" s="548"/>
      <c r="C489" s="549"/>
      <c r="D489" s="52" t="s">
        <v>454</v>
      </c>
      <c r="E489" s="149" t="s">
        <v>17</v>
      </c>
      <c r="F489" s="178">
        <v>0.6</v>
      </c>
      <c r="G489" s="178">
        <v>0.5</v>
      </c>
      <c r="H489" s="200">
        <f>-G489*F489</f>
        <v>-0.3</v>
      </c>
    </row>
    <row r="490" spans="1:8" s="54" customFormat="1" ht="15">
      <c r="B490" s="548"/>
      <c r="C490" s="549"/>
      <c r="D490" s="52" t="s">
        <v>455</v>
      </c>
      <c r="E490" s="149" t="s">
        <v>17</v>
      </c>
      <c r="F490" s="178">
        <v>1</v>
      </c>
      <c r="G490" s="178">
        <v>2.1</v>
      </c>
      <c r="H490" s="200">
        <f>-G490*F490</f>
        <v>-2.1</v>
      </c>
    </row>
    <row r="491" spans="1:8" s="54" customFormat="1" ht="15.75">
      <c r="B491" s="443"/>
      <c r="C491" s="448"/>
      <c r="D491" s="518" t="s">
        <v>389</v>
      </c>
      <c r="E491" s="514" t="s">
        <v>17</v>
      </c>
      <c r="F491" s="517">
        <v>28</v>
      </c>
      <c r="G491" s="517">
        <v>21.1</v>
      </c>
      <c r="H491" s="522">
        <f t="shared" ref="H491" si="34">F491*G491</f>
        <v>590.80000000000007</v>
      </c>
    </row>
    <row r="492" spans="1:8" s="54" customFormat="1" ht="19.5">
      <c r="B492" s="347" t="s">
        <v>458</v>
      </c>
      <c r="C492" s="292">
        <v>200201</v>
      </c>
      <c r="D492" s="468" t="s">
        <v>459</v>
      </c>
      <c r="E492" s="108" t="s">
        <v>17</v>
      </c>
      <c r="F492" s="176" t="s">
        <v>18</v>
      </c>
      <c r="G492" s="176" t="s">
        <v>460</v>
      </c>
      <c r="H492" s="199">
        <f>SUM(H493:H502)</f>
        <v>884.08</v>
      </c>
    </row>
    <row r="493" spans="1:8" s="54" customFormat="1" ht="15.75">
      <c r="B493" s="544"/>
      <c r="C493" s="545"/>
      <c r="D493" s="523" t="s">
        <v>157</v>
      </c>
      <c r="E493" s="149" t="s">
        <v>17</v>
      </c>
      <c r="F493" s="178">
        <v>22.8</v>
      </c>
      <c r="G493" s="178">
        <v>3</v>
      </c>
      <c r="H493" s="200">
        <f>G493*F493*2</f>
        <v>136.80000000000001</v>
      </c>
    </row>
    <row r="494" spans="1:8" s="54" customFormat="1" ht="15">
      <c r="B494" s="548"/>
      <c r="C494" s="549"/>
      <c r="D494" s="52" t="s">
        <v>454</v>
      </c>
      <c r="E494" s="149" t="s">
        <v>17</v>
      </c>
      <c r="F494" s="178">
        <v>1.8</v>
      </c>
      <c r="G494" s="178">
        <v>0.8</v>
      </c>
      <c r="H494" s="200">
        <f>-G494*F494</f>
        <v>-1.4400000000000002</v>
      </c>
    </row>
    <row r="495" spans="1:8" s="54" customFormat="1" ht="15">
      <c r="B495" s="548"/>
      <c r="C495" s="549"/>
      <c r="D495" s="52" t="s">
        <v>455</v>
      </c>
      <c r="E495" s="149" t="s">
        <v>17</v>
      </c>
      <c r="F495" s="178">
        <v>0.8</v>
      </c>
      <c r="G495" s="178">
        <v>2.1</v>
      </c>
      <c r="H495" s="200">
        <f>-G495*F495</f>
        <v>-1.6800000000000002</v>
      </c>
    </row>
    <row r="496" spans="1:8" s="54" customFormat="1" ht="15.75">
      <c r="B496" s="548"/>
      <c r="C496" s="549"/>
      <c r="D496" s="523" t="s">
        <v>158</v>
      </c>
      <c r="E496" s="149" t="s">
        <v>17</v>
      </c>
      <c r="F496" s="178">
        <v>22.8</v>
      </c>
      <c r="G496" s="178">
        <v>3</v>
      </c>
      <c r="H496" s="200">
        <f>G496*F496*2</f>
        <v>136.80000000000001</v>
      </c>
    </row>
    <row r="497" spans="2:8" s="54" customFormat="1" ht="15">
      <c r="B497" s="548"/>
      <c r="C497" s="549"/>
      <c r="D497" s="52" t="s">
        <v>454</v>
      </c>
      <c r="E497" s="149" t="s">
        <v>17</v>
      </c>
      <c r="F497" s="178">
        <v>1.8</v>
      </c>
      <c r="G497" s="178">
        <v>0.8</v>
      </c>
      <c r="H497" s="200">
        <f>-G497*F497*3</f>
        <v>-4.32</v>
      </c>
    </row>
    <row r="498" spans="2:8" s="54" customFormat="1" ht="15">
      <c r="B498" s="548"/>
      <c r="C498" s="549"/>
      <c r="D498" s="52" t="s">
        <v>455</v>
      </c>
      <c r="E498" s="149" t="s">
        <v>17</v>
      </c>
      <c r="F498" s="178">
        <v>0.8</v>
      </c>
      <c r="G498" s="178">
        <v>2.1</v>
      </c>
      <c r="H498" s="200">
        <f>-G498*F498</f>
        <v>-1.6800000000000002</v>
      </c>
    </row>
    <row r="499" spans="2:8" s="54" customFormat="1" ht="15.75">
      <c r="B499" s="548"/>
      <c r="C499" s="549"/>
      <c r="D499" s="523" t="s">
        <v>159</v>
      </c>
      <c r="E499" s="149" t="s">
        <v>17</v>
      </c>
      <c r="F499" s="178">
        <v>5.2</v>
      </c>
      <c r="G499" s="178">
        <v>3</v>
      </c>
      <c r="H499" s="200">
        <f>G499*F499*2</f>
        <v>31.200000000000003</v>
      </c>
    </row>
    <row r="500" spans="2:8" s="93" customFormat="1" ht="15">
      <c r="B500" s="364"/>
      <c r="C500" s="365"/>
      <c r="D500" s="52" t="s">
        <v>454</v>
      </c>
      <c r="E500" s="149" t="s">
        <v>17</v>
      </c>
      <c r="F500" s="178">
        <v>0.6</v>
      </c>
      <c r="G500" s="178">
        <v>0.5</v>
      </c>
      <c r="H500" s="200">
        <f>-G500*F500</f>
        <v>-0.3</v>
      </c>
    </row>
    <row r="501" spans="2:8" s="93" customFormat="1" ht="15">
      <c r="B501" s="364"/>
      <c r="C501" s="365"/>
      <c r="D501" s="52" t="s">
        <v>455</v>
      </c>
      <c r="E501" s="149" t="s">
        <v>17</v>
      </c>
      <c r="F501" s="178">
        <v>1</v>
      </c>
      <c r="G501" s="178">
        <v>2.1</v>
      </c>
      <c r="H501" s="200">
        <f>-G501*F501</f>
        <v>-2.1</v>
      </c>
    </row>
    <row r="502" spans="2:8" s="93" customFormat="1" ht="15.75">
      <c r="B502" s="364"/>
      <c r="C502" s="365"/>
      <c r="D502" s="518" t="s">
        <v>389</v>
      </c>
      <c r="E502" s="514" t="s">
        <v>17</v>
      </c>
      <c r="F502" s="517">
        <v>28</v>
      </c>
      <c r="G502" s="517">
        <v>21.1</v>
      </c>
      <c r="H502" s="522">
        <f t="shared" ref="H502" si="35">F502*G502</f>
        <v>590.80000000000007</v>
      </c>
    </row>
    <row r="503" spans="2:8" s="93" customFormat="1" ht="19.5">
      <c r="B503" s="347" t="s">
        <v>461</v>
      </c>
      <c r="C503" s="292" t="s">
        <v>462</v>
      </c>
      <c r="D503" s="468" t="s">
        <v>463</v>
      </c>
      <c r="E503" s="108" t="s">
        <v>17</v>
      </c>
      <c r="F503" s="176" t="s">
        <v>18</v>
      </c>
      <c r="G503" s="176" t="s">
        <v>460</v>
      </c>
      <c r="H503" s="199">
        <f>SUM(H504:H513)</f>
        <v>884.08</v>
      </c>
    </row>
    <row r="504" spans="2:8" s="93" customFormat="1" ht="15.75">
      <c r="B504" s="364"/>
      <c r="C504" s="365"/>
      <c r="D504" s="523" t="s">
        <v>157</v>
      </c>
      <c r="E504" s="149" t="s">
        <v>17</v>
      </c>
      <c r="F504" s="178">
        <v>22.8</v>
      </c>
      <c r="G504" s="178">
        <v>3</v>
      </c>
      <c r="H504" s="200">
        <f>G504*F504*2</f>
        <v>136.80000000000001</v>
      </c>
    </row>
    <row r="505" spans="2:8" s="93" customFormat="1" ht="15">
      <c r="B505" s="364"/>
      <c r="C505" s="365"/>
      <c r="D505" s="52" t="s">
        <v>454</v>
      </c>
      <c r="E505" s="149" t="s">
        <v>17</v>
      </c>
      <c r="F505" s="178">
        <v>1.8</v>
      </c>
      <c r="G505" s="178">
        <v>0.8</v>
      </c>
      <c r="H505" s="200">
        <f>-G505*F505</f>
        <v>-1.4400000000000002</v>
      </c>
    </row>
    <row r="506" spans="2:8" s="93" customFormat="1" ht="15">
      <c r="B506" s="364"/>
      <c r="C506" s="365"/>
      <c r="D506" s="52" t="s">
        <v>455</v>
      </c>
      <c r="E506" s="149" t="s">
        <v>17</v>
      </c>
      <c r="F506" s="178">
        <v>0.8</v>
      </c>
      <c r="G506" s="178">
        <v>2.1</v>
      </c>
      <c r="H506" s="200">
        <f>-G506*F506</f>
        <v>-1.6800000000000002</v>
      </c>
    </row>
    <row r="507" spans="2:8" s="93" customFormat="1" ht="15.75">
      <c r="B507" s="364"/>
      <c r="C507" s="365"/>
      <c r="D507" s="523" t="s">
        <v>158</v>
      </c>
      <c r="E507" s="149" t="s">
        <v>17</v>
      </c>
      <c r="F507" s="178">
        <v>22.8</v>
      </c>
      <c r="G507" s="178">
        <v>3</v>
      </c>
      <c r="H507" s="200">
        <f>G507*F507*2</f>
        <v>136.80000000000001</v>
      </c>
    </row>
    <row r="508" spans="2:8" s="93" customFormat="1" ht="15">
      <c r="B508" s="364"/>
      <c r="C508" s="365"/>
      <c r="D508" s="52" t="s">
        <v>454</v>
      </c>
      <c r="E508" s="149" t="s">
        <v>17</v>
      </c>
      <c r="F508" s="178">
        <v>1.8</v>
      </c>
      <c r="G508" s="178">
        <v>0.8</v>
      </c>
      <c r="H508" s="200">
        <f>-G508*F508*3</f>
        <v>-4.32</v>
      </c>
    </row>
    <row r="509" spans="2:8" s="93" customFormat="1" ht="15">
      <c r="B509" s="364"/>
      <c r="C509" s="365"/>
      <c r="D509" s="52" t="s">
        <v>455</v>
      </c>
      <c r="E509" s="149" t="s">
        <v>17</v>
      </c>
      <c r="F509" s="178">
        <v>0.8</v>
      </c>
      <c r="G509" s="178">
        <v>2.1</v>
      </c>
      <c r="H509" s="200">
        <f>-G509*F509</f>
        <v>-1.6800000000000002</v>
      </c>
    </row>
    <row r="510" spans="2:8" s="93" customFormat="1" ht="15.75">
      <c r="B510" s="364"/>
      <c r="C510" s="365"/>
      <c r="D510" s="523" t="s">
        <v>159</v>
      </c>
      <c r="E510" s="149" t="s">
        <v>17</v>
      </c>
      <c r="F510" s="178">
        <v>5.2</v>
      </c>
      <c r="G510" s="178">
        <v>3</v>
      </c>
      <c r="H510" s="200">
        <f>G510*F510*2</f>
        <v>31.200000000000003</v>
      </c>
    </row>
    <row r="511" spans="2:8" s="93" customFormat="1" ht="15">
      <c r="B511" s="364"/>
      <c r="C511" s="365"/>
      <c r="D511" s="52" t="s">
        <v>454</v>
      </c>
      <c r="E511" s="149" t="s">
        <v>17</v>
      </c>
      <c r="F511" s="178">
        <v>0.6</v>
      </c>
      <c r="G511" s="178">
        <v>0.5</v>
      </c>
      <c r="H511" s="200">
        <f>-G511*F511</f>
        <v>-0.3</v>
      </c>
    </row>
    <row r="512" spans="2:8" s="93" customFormat="1" ht="15">
      <c r="B512" s="364"/>
      <c r="C512" s="365"/>
      <c r="D512" s="52" t="s">
        <v>455</v>
      </c>
      <c r="E512" s="149" t="s">
        <v>17</v>
      </c>
      <c r="F512" s="178">
        <v>1</v>
      </c>
      <c r="G512" s="178">
        <v>2.1</v>
      </c>
      <c r="H512" s="200">
        <f>-G512*F512</f>
        <v>-2.1</v>
      </c>
    </row>
    <row r="513" spans="2:8" s="93" customFormat="1" ht="15.75">
      <c r="B513" s="364"/>
      <c r="C513" s="365"/>
      <c r="D513" s="518" t="s">
        <v>389</v>
      </c>
      <c r="E513" s="514" t="s">
        <v>17</v>
      </c>
      <c r="F513" s="517">
        <v>28</v>
      </c>
      <c r="G513" s="517">
        <v>21.1</v>
      </c>
      <c r="H513" s="522">
        <f t="shared" ref="H513" si="36">F513*G513</f>
        <v>590.80000000000007</v>
      </c>
    </row>
    <row r="514" spans="2:8" s="54" customFormat="1" ht="15.75">
      <c r="B514" s="553" t="s">
        <v>464</v>
      </c>
      <c r="C514" s="554"/>
      <c r="D514" s="554"/>
      <c r="E514" s="554"/>
      <c r="F514" s="554"/>
      <c r="G514" s="554"/>
      <c r="H514" s="555"/>
    </row>
    <row r="515" spans="2:8" s="54" customFormat="1" ht="15.75">
      <c r="B515" s="353" t="s">
        <v>465</v>
      </c>
      <c r="C515" s="290">
        <v>220000</v>
      </c>
      <c r="D515" s="559" t="s">
        <v>466</v>
      </c>
      <c r="E515" s="554"/>
      <c r="F515" s="554"/>
      <c r="G515" s="560"/>
      <c r="H515" s="202" t="s">
        <v>50</v>
      </c>
    </row>
    <row r="516" spans="2:8" s="54" customFormat="1" ht="47.25" customHeight="1">
      <c r="B516" s="347" t="s">
        <v>467</v>
      </c>
      <c r="C516" s="292">
        <v>220311</v>
      </c>
      <c r="D516" s="471" t="s">
        <v>468</v>
      </c>
      <c r="E516" s="108" t="s">
        <v>17</v>
      </c>
      <c r="F516" s="275" t="s">
        <v>18</v>
      </c>
      <c r="G516" s="275" t="s">
        <v>19</v>
      </c>
      <c r="H516" s="199">
        <f>SUM(H517:H519)</f>
        <v>75.2</v>
      </c>
    </row>
    <row r="517" spans="2:8" s="54" customFormat="1" ht="15">
      <c r="B517" s="355"/>
      <c r="C517" s="356"/>
      <c r="D517" s="210" t="s">
        <v>157</v>
      </c>
      <c r="E517" s="149" t="s">
        <v>17</v>
      </c>
      <c r="F517" s="274">
        <v>6.7</v>
      </c>
      <c r="G517" s="274">
        <v>4.7</v>
      </c>
      <c r="H517" s="268">
        <f>F517*G517</f>
        <v>31.490000000000002</v>
      </c>
    </row>
    <row r="518" spans="2:8" s="54" customFormat="1" ht="15">
      <c r="B518" s="348"/>
      <c r="C518" s="349"/>
      <c r="D518" s="210" t="s">
        <v>158</v>
      </c>
      <c r="E518" s="149" t="s">
        <v>17</v>
      </c>
      <c r="F518" s="274">
        <v>4.7</v>
      </c>
      <c r="G518" s="274">
        <v>6.7</v>
      </c>
      <c r="H518" s="268">
        <f t="shared" ref="H518:H519" si="37">F518*G518</f>
        <v>31.490000000000002</v>
      </c>
    </row>
    <row r="519" spans="2:8" s="54" customFormat="1" ht="15">
      <c r="B519" s="348"/>
      <c r="C519" s="349"/>
      <c r="D519" s="210" t="s">
        <v>159</v>
      </c>
      <c r="E519" s="149" t="s">
        <v>17</v>
      </c>
      <c r="F519" s="274">
        <v>4.7</v>
      </c>
      <c r="G519" s="274">
        <v>2.6</v>
      </c>
      <c r="H519" s="268">
        <f t="shared" si="37"/>
        <v>12.22</v>
      </c>
    </row>
    <row r="520" spans="2:8" s="54" customFormat="1" ht="19.5">
      <c r="B520" s="347" t="s">
        <v>469</v>
      </c>
      <c r="C520" s="292">
        <v>220920</v>
      </c>
      <c r="D520" s="469" t="s">
        <v>470</v>
      </c>
      <c r="E520" s="108" t="s">
        <v>17</v>
      </c>
      <c r="F520" s="270" t="s">
        <v>18</v>
      </c>
      <c r="G520" s="176" t="s">
        <v>19</v>
      </c>
      <c r="H520" s="199">
        <f>SUM(H521+H522+H523)</f>
        <v>0.48</v>
      </c>
    </row>
    <row r="521" spans="2:8" s="54" customFormat="1" ht="15">
      <c r="B521" s="544"/>
      <c r="C521" s="545"/>
      <c r="D521" s="210" t="s">
        <v>471</v>
      </c>
      <c r="E521" s="149" t="s">
        <v>17</v>
      </c>
      <c r="F521" s="55">
        <v>0.8</v>
      </c>
      <c r="G521" s="55">
        <v>0.15</v>
      </c>
      <c r="H521" s="200">
        <f t="shared" ref="H521:H522" si="38">G521*F521</f>
        <v>0.12</v>
      </c>
    </row>
    <row r="522" spans="2:8" s="54" customFormat="1" ht="15">
      <c r="B522" s="548"/>
      <c r="C522" s="549"/>
      <c r="D522" s="210" t="s">
        <v>472</v>
      </c>
      <c r="E522" s="149" t="s">
        <v>17</v>
      </c>
      <c r="F522" s="55">
        <v>0.8</v>
      </c>
      <c r="G522" s="55">
        <v>0.15</v>
      </c>
      <c r="H522" s="200">
        <f t="shared" si="38"/>
        <v>0.12</v>
      </c>
    </row>
    <row r="523" spans="2:8" s="54" customFormat="1" ht="15">
      <c r="B523" s="548"/>
      <c r="C523" s="549"/>
      <c r="D523" s="210" t="s">
        <v>473</v>
      </c>
      <c r="E523" s="149" t="s">
        <v>17</v>
      </c>
      <c r="F523" s="55">
        <v>0.8</v>
      </c>
      <c r="G523" s="55">
        <v>0.15</v>
      </c>
      <c r="H523" s="200">
        <f>G523*F523*2</f>
        <v>0.24</v>
      </c>
    </row>
    <row r="524" spans="2:8" s="54" customFormat="1" ht="19.5">
      <c r="B524" s="347" t="s">
        <v>474</v>
      </c>
      <c r="C524" s="292">
        <v>220312</v>
      </c>
      <c r="D524" s="469" t="s">
        <v>475</v>
      </c>
      <c r="E524" s="108" t="s">
        <v>177</v>
      </c>
      <c r="F524" s="561" t="s">
        <v>18</v>
      </c>
      <c r="G524" s="561"/>
      <c r="H524" s="199">
        <f>SUM(H525:H527)</f>
        <v>60.2</v>
      </c>
    </row>
    <row r="525" spans="2:8" s="54" customFormat="1" ht="15">
      <c r="B525" s="544"/>
      <c r="C525" s="566"/>
      <c r="D525" s="210" t="s">
        <v>157</v>
      </c>
      <c r="E525" s="149" t="s">
        <v>177</v>
      </c>
      <c r="F525" s="570">
        <v>22.8</v>
      </c>
      <c r="G525" s="570"/>
      <c r="H525" s="200">
        <f t="shared" ref="H525:H527" si="39">F525</f>
        <v>22.8</v>
      </c>
    </row>
    <row r="526" spans="2:8" s="54" customFormat="1" ht="15">
      <c r="B526" s="548"/>
      <c r="C526" s="550"/>
      <c r="D526" s="210" t="s">
        <v>158</v>
      </c>
      <c r="E526" s="149" t="s">
        <v>177</v>
      </c>
      <c r="F526" s="570">
        <v>22.8</v>
      </c>
      <c r="G526" s="570"/>
      <c r="H526" s="200">
        <f>F526</f>
        <v>22.8</v>
      </c>
    </row>
    <row r="527" spans="2:8" s="54" customFormat="1" ht="15">
      <c r="B527" s="548"/>
      <c r="C527" s="550"/>
      <c r="D527" s="210" t="s">
        <v>159</v>
      </c>
      <c r="E527" s="149" t="s">
        <v>177</v>
      </c>
      <c r="F527" s="570">
        <v>14.6</v>
      </c>
      <c r="G527" s="570"/>
      <c r="H527" s="200">
        <f t="shared" si="39"/>
        <v>14.6</v>
      </c>
    </row>
    <row r="528" spans="2:8" s="54" customFormat="1" ht="15.75">
      <c r="B528" s="553" t="s">
        <v>476</v>
      </c>
      <c r="C528" s="554"/>
      <c r="D528" s="554"/>
      <c r="E528" s="554"/>
      <c r="F528" s="554"/>
      <c r="G528" s="554"/>
      <c r="H528" s="555"/>
    </row>
    <row r="529" spans="2:8" s="54" customFormat="1" ht="15.75">
      <c r="B529" s="353" t="s">
        <v>477</v>
      </c>
      <c r="C529" s="290">
        <v>230000</v>
      </c>
      <c r="D529" s="559" t="s">
        <v>478</v>
      </c>
      <c r="E529" s="554"/>
      <c r="F529" s="554"/>
      <c r="G529" s="560"/>
      <c r="H529" s="202" t="s">
        <v>13</v>
      </c>
    </row>
    <row r="530" spans="2:8" s="54" customFormat="1" ht="19.5">
      <c r="B530" s="347" t="s">
        <v>479</v>
      </c>
      <c r="C530" s="292">
        <v>230101</v>
      </c>
      <c r="D530" s="469" t="s">
        <v>480</v>
      </c>
      <c r="E530" s="61" t="s">
        <v>171</v>
      </c>
      <c r="F530" s="579" t="s">
        <v>274</v>
      </c>
      <c r="G530" s="579"/>
      <c r="H530" s="199">
        <f>SUM(H531:H534)</f>
        <v>4</v>
      </c>
    </row>
    <row r="531" spans="2:8" s="54" customFormat="1" ht="15">
      <c r="B531" s="546"/>
      <c r="C531" s="547"/>
      <c r="D531" s="210" t="s">
        <v>157</v>
      </c>
      <c r="E531" s="56" t="s">
        <v>171</v>
      </c>
      <c r="F531" s="565">
        <v>1</v>
      </c>
      <c r="G531" s="565"/>
      <c r="H531" s="206">
        <f>F531</f>
        <v>1</v>
      </c>
    </row>
    <row r="532" spans="2:8" s="54" customFormat="1" ht="15">
      <c r="B532" s="546"/>
      <c r="C532" s="547"/>
      <c r="D532" s="210" t="s">
        <v>158</v>
      </c>
      <c r="E532" s="56" t="s">
        <v>171</v>
      </c>
      <c r="F532" s="565">
        <v>1</v>
      </c>
      <c r="G532" s="565"/>
      <c r="H532" s="206">
        <f t="shared" ref="H532:H534" si="40">F532</f>
        <v>1</v>
      </c>
    </row>
    <row r="533" spans="2:8" s="54" customFormat="1" ht="15">
      <c r="B533" s="546"/>
      <c r="C533" s="547"/>
      <c r="D533" s="210" t="s">
        <v>159</v>
      </c>
      <c r="E533" s="56" t="s">
        <v>171</v>
      </c>
      <c r="F533" s="565">
        <v>1</v>
      </c>
      <c r="G533" s="565"/>
      <c r="H533" s="206">
        <f t="shared" si="40"/>
        <v>1</v>
      </c>
    </row>
    <row r="534" spans="2:8" s="54" customFormat="1" ht="15">
      <c r="B534" s="345"/>
      <c r="C534" s="532"/>
      <c r="D534" s="210" t="s">
        <v>448</v>
      </c>
      <c r="E534" s="56" t="s">
        <v>171</v>
      </c>
      <c r="F534" s="562">
        <v>1</v>
      </c>
      <c r="G534" s="563"/>
      <c r="H534" s="206">
        <f t="shared" si="40"/>
        <v>1</v>
      </c>
    </row>
    <row r="535" spans="2:8" s="54" customFormat="1" ht="19.5">
      <c r="B535" s="347" t="s">
        <v>481</v>
      </c>
      <c r="C535" s="292">
        <v>230201</v>
      </c>
      <c r="D535" s="469" t="s">
        <v>482</v>
      </c>
      <c r="E535" s="61" t="s">
        <v>171</v>
      </c>
      <c r="F535" s="579" t="s">
        <v>274</v>
      </c>
      <c r="G535" s="579"/>
      <c r="H535" s="199">
        <f>SUM(H536:H539)</f>
        <v>12</v>
      </c>
    </row>
    <row r="536" spans="2:8" s="54" customFormat="1" ht="15">
      <c r="B536" s="544"/>
      <c r="C536" s="545"/>
      <c r="D536" s="210" t="s">
        <v>157</v>
      </c>
      <c r="E536" s="56" t="s">
        <v>171</v>
      </c>
      <c r="F536" s="565">
        <v>3</v>
      </c>
      <c r="G536" s="565"/>
      <c r="H536" s="206">
        <f>F536</f>
        <v>3</v>
      </c>
    </row>
    <row r="537" spans="2:8" s="54" customFormat="1" ht="15">
      <c r="B537" s="548"/>
      <c r="C537" s="549"/>
      <c r="D537" s="210" t="s">
        <v>158</v>
      </c>
      <c r="E537" s="56" t="s">
        <v>171</v>
      </c>
      <c r="F537" s="565">
        <v>3</v>
      </c>
      <c r="G537" s="565"/>
      <c r="H537" s="206">
        <f t="shared" ref="H537:H539" si="41">F537</f>
        <v>3</v>
      </c>
    </row>
    <row r="538" spans="2:8" s="54" customFormat="1" ht="15">
      <c r="B538" s="548"/>
      <c r="C538" s="549"/>
      <c r="D538" s="210" t="s">
        <v>159</v>
      </c>
      <c r="E538" s="56" t="s">
        <v>171</v>
      </c>
      <c r="F538" s="565">
        <v>3</v>
      </c>
      <c r="G538" s="565"/>
      <c r="H538" s="206">
        <f t="shared" si="41"/>
        <v>3</v>
      </c>
    </row>
    <row r="539" spans="2:8" s="54" customFormat="1" ht="15">
      <c r="B539" s="443"/>
      <c r="C539" s="448"/>
      <c r="D539" s="210" t="s">
        <v>448</v>
      </c>
      <c r="E539" s="56" t="s">
        <v>171</v>
      </c>
      <c r="F539" s="562">
        <v>3</v>
      </c>
      <c r="G539" s="580"/>
      <c r="H539" s="206">
        <f t="shared" si="41"/>
        <v>3</v>
      </c>
    </row>
    <row r="540" spans="2:8" s="54" customFormat="1" ht="15.75">
      <c r="B540" s="553" t="s">
        <v>483</v>
      </c>
      <c r="C540" s="554"/>
      <c r="D540" s="554"/>
      <c r="E540" s="554"/>
      <c r="F540" s="554"/>
      <c r="G540" s="554"/>
      <c r="H540" s="555"/>
    </row>
    <row r="541" spans="2:8" s="54" customFormat="1" ht="15.75">
      <c r="B541" s="353" t="s">
        <v>484</v>
      </c>
      <c r="C541" s="290">
        <v>250000</v>
      </c>
      <c r="D541" s="559" t="s">
        <v>485</v>
      </c>
      <c r="E541" s="554"/>
      <c r="F541" s="554"/>
      <c r="G541" s="560"/>
      <c r="H541" s="202" t="s">
        <v>13</v>
      </c>
    </row>
    <row r="542" spans="2:8" s="54" customFormat="1" ht="19.5">
      <c r="B542" s="347" t="s">
        <v>486</v>
      </c>
      <c r="C542" s="292">
        <v>250101</v>
      </c>
      <c r="D542" s="470" t="s">
        <v>487</v>
      </c>
      <c r="E542" s="108" t="s">
        <v>488</v>
      </c>
      <c r="F542" s="561" t="s">
        <v>489</v>
      </c>
      <c r="G542" s="561"/>
      <c r="H542" s="199">
        <f>H543</f>
        <v>660</v>
      </c>
    </row>
    <row r="543" spans="2:8" s="54" customFormat="1" ht="15">
      <c r="B543" s="556"/>
      <c r="C543" s="558"/>
      <c r="D543" s="57" t="s">
        <v>490</v>
      </c>
      <c r="E543" s="56" t="s">
        <v>491</v>
      </c>
      <c r="F543" s="565">
        <f>22*6*5</f>
        <v>660</v>
      </c>
      <c r="G543" s="565"/>
      <c r="H543" s="206">
        <f>F543</f>
        <v>660</v>
      </c>
    </row>
    <row r="544" spans="2:8" s="54" customFormat="1" ht="19.5">
      <c r="B544" s="347" t="s">
        <v>492</v>
      </c>
      <c r="C544" s="292">
        <v>250103</v>
      </c>
      <c r="D544" s="470" t="s">
        <v>493</v>
      </c>
      <c r="E544" s="108" t="s">
        <v>488</v>
      </c>
      <c r="F544" s="561" t="s">
        <v>489</v>
      </c>
      <c r="G544" s="561"/>
      <c r="H544" s="199">
        <f>H545</f>
        <v>1056</v>
      </c>
    </row>
    <row r="545" spans="2:8" s="54" customFormat="1" ht="15">
      <c r="B545" s="544"/>
      <c r="C545" s="566"/>
      <c r="D545" s="57" t="s">
        <v>494</v>
      </c>
      <c r="E545" s="56" t="s">
        <v>491</v>
      </c>
      <c r="F545" s="565">
        <f>22*6*8</f>
        <v>1056</v>
      </c>
      <c r="G545" s="565"/>
      <c r="H545" s="206">
        <f>F545</f>
        <v>1056</v>
      </c>
    </row>
    <row r="546" spans="2:8" s="54" customFormat="1" ht="19.5">
      <c r="B546" s="347" t="s">
        <v>495</v>
      </c>
      <c r="C546" s="292">
        <v>250110</v>
      </c>
      <c r="D546" s="470" t="s">
        <v>496</v>
      </c>
      <c r="E546" s="108" t="s">
        <v>488</v>
      </c>
      <c r="F546" s="575" t="s">
        <v>489</v>
      </c>
      <c r="G546" s="576"/>
      <c r="H546" s="199">
        <f>H547</f>
        <v>1584</v>
      </c>
    </row>
    <row r="547" spans="2:8" s="54" customFormat="1" ht="15">
      <c r="B547" s="556"/>
      <c r="C547" s="557"/>
      <c r="D547" s="57" t="s">
        <v>497</v>
      </c>
      <c r="E547" s="56" t="s">
        <v>491</v>
      </c>
      <c r="F547" s="562">
        <f>22*6*12</f>
        <v>1584</v>
      </c>
      <c r="G547" s="563"/>
      <c r="H547" s="206">
        <f>F547</f>
        <v>1584</v>
      </c>
    </row>
    <row r="548" spans="2:8" s="54" customFormat="1" ht="19.5">
      <c r="B548" s="347" t="s">
        <v>498</v>
      </c>
      <c r="C548" s="292" t="s">
        <v>499</v>
      </c>
      <c r="D548" s="470" t="s">
        <v>500</v>
      </c>
      <c r="E548" s="108" t="s">
        <v>488</v>
      </c>
      <c r="F548" s="575" t="s">
        <v>489</v>
      </c>
      <c r="G548" s="576"/>
      <c r="H548" s="199">
        <f>H549</f>
        <v>576</v>
      </c>
    </row>
    <row r="549" spans="2:8" s="54" customFormat="1" ht="15">
      <c r="B549" s="556"/>
      <c r="C549" s="557"/>
      <c r="D549" s="57" t="s">
        <v>501</v>
      </c>
      <c r="E549" s="56" t="s">
        <v>491</v>
      </c>
      <c r="F549" s="562">
        <f>8*6*12</f>
        <v>576</v>
      </c>
      <c r="G549" s="563"/>
      <c r="H549" s="206">
        <f>F549</f>
        <v>576</v>
      </c>
    </row>
    <row r="550" spans="2:8" s="54" customFormat="1" ht="15.75">
      <c r="B550" s="553" t="s">
        <v>502</v>
      </c>
      <c r="C550" s="554"/>
      <c r="D550" s="554"/>
      <c r="E550" s="554"/>
      <c r="F550" s="554"/>
      <c r="G550" s="554"/>
      <c r="H550" s="555"/>
    </row>
    <row r="551" spans="2:8" s="54" customFormat="1" ht="15.75">
      <c r="B551" s="353" t="s">
        <v>503</v>
      </c>
      <c r="C551" s="290">
        <v>260000</v>
      </c>
      <c r="D551" s="559" t="s">
        <v>504</v>
      </c>
      <c r="E551" s="554"/>
      <c r="F551" s="554"/>
      <c r="G551" s="560"/>
      <c r="H551" s="202" t="s">
        <v>13</v>
      </c>
    </row>
    <row r="552" spans="2:8" s="54" customFormat="1" ht="19.5">
      <c r="B552" s="347" t="s">
        <v>505</v>
      </c>
      <c r="C552" s="292">
        <v>261300</v>
      </c>
      <c r="D552" s="470" t="s">
        <v>506</v>
      </c>
      <c r="E552" s="108" t="s">
        <v>17</v>
      </c>
      <c r="F552" s="176" t="s">
        <v>18</v>
      </c>
      <c r="G552" s="176" t="s">
        <v>19</v>
      </c>
      <c r="H552" s="199">
        <f>SUM(H553:H562)</f>
        <v>884.08</v>
      </c>
    </row>
    <row r="553" spans="2:8" s="54" customFormat="1" ht="15.75">
      <c r="B553" s="544"/>
      <c r="C553" s="545"/>
      <c r="D553" s="523" t="s">
        <v>157</v>
      </c>
      <c r="E553" s="149" t="s">
        <v>17</v>
      </c>
      <c r="F553" s="178">
        <v>22.8</v>
      </c>
      <c r="G553" s="178">
        <v>3</v>
      </c>
      <c r="H553" s="200">
        <f>G553*F553*2</f>
        <v>136.80000000000001</v>
      </c>
    </row>
    <row r="554" spans="2:8" s="54" customFormat="1" ht="15">
      <c r="B554" s="548"/>
      <c r="C554" s="549"/>
      <c r="D554" s="52" t="s">
        <v>454</v>
      </c>
      <c r="E554" s="149" t="s">
        <v>17</v>
      </c>
      <c r="F554" s="178">
        <v>1.8</v>
      </c>
      <c r="G554" s="178">
        <v>0.8</v>
      </c>
      <c r="H554" s="200">
        <f>-G554*F554</f>
        <v>-1.4400000000000002</v>
      </c>
    </row>
    <row r="555" spans="2:8" s="54" customFormat="1" ht="15">
      <c r="B555" s="548"/>
      <c r="C555" s="549"/>
      <c r="D555" s="52" t="s">
        <v>455</v>
      </c>
      <c r="E555" s="149" t="s">
        <v>17</v>
      </c>
      <c r="F555" s="178">
        <v>0.8</v>
      </c>
      <c r="G555" s="178">
        <v>2.1</v>
      </c>
      <c r="H555" s="200">
        <f>-G555*F555</f>
        <v>-1.6800000000000002</v>
      </c>
    </row>
    <row r="556" spans="2:8" s="54" customFormat="1" ht="15.75">
      <c r="B556" s="548"/>
      <c r="C556" s="549"/>
      <c r="D556" s="523" t="s">
        <v>158</v>
      </c>
      <c r="E556" s="149" t="s">
        <v>17</v>
      </c>
      <c r="F556" s="178">
        <v>22.8</v>
      </c>
      <c r="G556" s="178">
        <v>3</v>
      </c>
      <c r="H556" s="200">
        <f>G556*F556*2</f>
        <v>136.80000000000001</v>
      </c>
    </row>
    <row r="557" spans="2:8" s="54" customFormat="1" ht="15">
      <c r="B557" s="548"/>
      <c r="C557" s="549"/>
      <c r="D557" s="52" t="s">
        <v>454</v>
      </c>
      <c r="E557" s="149" t="s">
        <v>17</v>
      </c>
      <c r="F557" s="178">
        <v>1.8</v>
      </c>
      <c r="G557" s="178">
        <v>0.8</v>
      </c>
      <c r="H557" s="200">
        <f>-G557*F557*3</f>
        <v>-4.32</v>
      </c>
    </row>
    <row r="558" spans="2:8" s="54" customFormat="1" ht="15">
      <c r="B558" s="548"/>
      <c r="C558" s="549"/>
      <c r="D558" s="52" t="s">
        <v>455</v>
      </c>
      <c r="E558" s="149" t="s">
        <v>17</v>
      </c>
      <c r="F558" s="178">
        <v>0.8</v>
      </c>
      <c r="G558" s="178">
        <v>2.1</v>
      </c>
      <c r="H558" s="200">
        <f>-G558*F558</f>
        <v>-1.6800000000000002</v>
      </c>
    </row>
    <row r="559" spans="2:8" s="54" customFormat="1" ht="15.75">
      <c r="B559" s="548"/>
      <c r="C559" s="549"/>
      <c r="D559" s="523" t="s">
        <v>159</v>
      </c>
      <c r="E559" s="149" t="s">
        <v>17</v>
      </c>
      <c r="F559" s="178">
        <v>5.2</v>
      </c>
      <c r="G559" s="178">
        <v>3</v>
      </c>
      <c r="H559" s="200">
        <f>G559*F559*2</f>
        <v>31.200000000000003</v>
      </c>
    </row>
    <row r="560" spans="2:8" s="54" customFormat="1" ht="15">
      <c r="B560" s="548"/>
      <c r="C560" s="549"/>
      <c r="D560" s="52" t="s">
        <v>454</v>
      </c>
      <c r="E560" s="149" t="s">
        <v>17</v>
      </c>
      <c r="F560" s="178">
        <v>0.6</v>
      </c>
      <c r="G560" s="178">
        <v>0.5</v>
      </c>
      <c r="H560" s="200">
        <f>-G560*F560</f>
        <v>-0.3</v>
      </c>
    </row>
    <row r="561" spans="2:8" s="54" customFormat="1" ht="15">
      <c r="B561" s="548"/>
      <c r="C561" s="549"/>
      <c r="D561" s="52" t="s">
        <v>455</v>
      </c>
      <c r="E561" s="149" t="s">
        <v>17</v>
      </c>
      <c r="F561" s="178">
        <v>1</v>
      </c>
      <c r="G561" s="178">
        <v>2.1</v>
      </c>
      <c r="H561" s="200">
        <f>-G561*F561</f>
        <v>-2.1</v>
      </c>
    </row>
    <row r="562" spans="2:8" s="54" customFormat="1" ht="15.75">
      <c r="B562" s="548"/>
      <c r="C562" s="549"/>
      <c r="D562" s="518" t="s">
        <v>389</v>
      </c>
      <c r="E562" s="514" t="s">
        <v>17</v>
      </c>
      <c r="F562" s="517">
        <v>28</v>
      </c>
      <c r="G562" s="517">
        <v>21.1</v>
      </c>
      <c r="H562" s="522">
        <f t="shared" ref="H562" si="42">F562*G562</f>
        <v>590.80000000000007</v>
      </c>
    </row>
    <row r="563" spans="2:8" s="54" customFormat="1" ht="15.75">
      <c r="B563" s="548"/>
      <c r="C563" s="549"/>
      <c r="D563" s="154" t="s">
        <v>507</v>
      </c>
      <c r="E563" s="212" t="s">
        <v>17</v>
      </c>
      <c r="F563" s="369" t="s">
        <v>18</v>
      </c>
      <c r="G563" s="369" t="s">
        <v>19</v>
      </c>
      <c r="H563" s="203">
        <f>SUM(H564:H566)</f>
        <v>75.2</v>
      </c>
    </row>
    <row r="564" spans="2:8" s="54" customFormat="1" ht="15">
      <c r="B564" s="548"/>
      <c r="C564" s="549"/>
      <c r="D564" s="52" t="s">
        <v>157</v>
      </c>
      <c r="E564" s="211" t="s">
        <v>17</v>
      </c>
      <c r="F564" s="271">
        <v>6.7</v>
      </c>
      <c r="G564" s="271">
        <v>4.7</v>
      </c>
      <c r="H564" s="268">
        <f t="shared" ref="H564:H566" si="43">F564*G564</f>
        <v>31.490000000000002</v>
      </c>
    </row>
    <row r="565" spans="2:8" s="54" customFormat="1" ht="15">
      <c r="B565" s="548"/>
      <c r="C565" s="550"/>
      <c r="D565" s="52" t="s">
        <v>158</v>
      </c>
      <c r="E565" s="211" t="s">
        <v>17</v>
      </c>
      <c r="F565" s="271">
        <v>4.7</v>
      </c>
      <c r="G565" s="271">
        <v>6.7</v>
      </c>
      <c r="H565" s="268">
        <f t="shared" si="43"/>
        <v>31.490000000000002</v>
      </c>
    </row>
    <row r="566" spans="2:8" s="54" customFormat="1" ht="14.25" customHeight="1">
      <c r="B566" s="548"/>
      <c r="C566" s="549"/>
      <c r="D566" s="52" t="s">
        <v>159</v>
      </c>
      <c r="E566" s="211" t="s">
        <v>17</v>
      </c>
      <c r="F566" s="271">
        <v>4.7</v>
      </c>
      <c r="G566" s="271">
        <v>2.6</v>
      </c>
      <c r="H566" s="268">
        <f t="shared" si="43"/>
        <v>12.22</v>
      </c>
    </row>
    <row r="567" spans="2:8" s="54" customFormat="1" ht="19.5">
      <c r="B567" s="347" t="s">
        <v>508</v>
      </c>
      <c r="C567" s="292">
        <v>261550</v>
      </c>
      <c r="D567" s="472" t="s">
        <v>509</v>
      </c>
      <c r="E567" s="59" t="s">
        <v>17</v>
      </c>
      <c r="F567" s="180" t="s">
        <v>18</v>
      </c>
      <c r="G567" s="269" t="s">
        <v>41</v>
      </c>
      <c r="H567" s="199">
        <f>SUM(H568:H569)</f>
        <v>91.2</v>
      </c>
    </row>
    <row r="568" spans="2:8" s="54" customFormat="1" ht="15">
      <c r="B568" s="544"/>
      <c r="C568" s="545"/>
      <c r="D568" s="52" t="s">
        <v>157</v>
      </c>
      <c r="E568" s="211" t="s">
        <v>17</v>
      </c>
      <c r="F568" s="271">
        <v>22.8</v>
      </c>
      <c r="G568" s="455">
        <v>1</v>
      </c>
      <c r="H568" s="268">
        <f>(F568*G568)*2</f>
        <v>45.6</v>
      </c>
    </row>
    <row r="569" spans="2:8" s="54" customFormat="1" ht="15">
      <c r="B569" s="548"/>
      <c r="C569" s="549"/>
      <c r="D569" s="52" t="s">
        <v>158</v>
      </c>
      <c r="E569" s="211" t="s">
        <v>17</v>
      </c>
      <c r="F569" s="271">
        <v>22.8</v>
      </c>
      <c r="G569" s="455">
        <v>1</v>
      </c>
      <c r="H569" s="268">
        <f>(F569*G569)*2</f>
        <v>45.6</v>
      </c>
    </row>
    <row r="570" spans="2:8" s="54" customFormat="1" ht="19.5">
      <c r="B570" s="347" t="s">
        <v>510</v>
      </c>
      <c r="C570" s="292">
        <v>261001</v>
      </c>
      <c r="D570" s="472" t="s">
        <v>511</v>
      </c>
      <c r="E570" s="59" t="s">
        <v>17</v>
      </c>
      <c r="F570" s="272" t="s">
        <v>18</v>
      </c>
      <c r="G570" s="273" t="s">
        <v>41</v>
      </c>
      <c r="H570" s="199">
        <f>SUM(H571:H577)</f>
        <v>764.08</v>
      </c>
    </row>
    <row r="571" spans="2:8" s="54" customFormat="1" ht="15.75">
      <c r="B571" s="544"/>
      <c r="C571" s="545"/>
      <c r="D571" s="523" t="s">
        <v>157</v>
      </c>
      <c r="E571" s="149" t="s">
        <v>17</v>
      </c>
      <c r="F571" s="178">
        <v>22.8</v>
      </c>
      <c r="G571" s="178">
        <v>2</v>
      </c>
      <c r="H571" s="200">
        <f>G571*F571*2</f>
        <v>91.2</v>
      </c>
    </row>
    <row r="572" spans="2:8" s="54" customFormat="1" ht="15">
      <c r="B572" s="548"/>
      <c r="C572" s="549"/>
      <c r="D572" s="52" t="s">
        <v>454</v>
      </c>
      <c r="E572" s="149" t="s">
        <v>17</v>
      </c>
      <c r="F572" s="178">
        <v>1.8</v>
      </c>
      <c r="G572" s="178">
        <v>0.8</v>
      </c>
      <c r="H572" s="200">
        <f>-G572*F572</f>
        <v>-1.4400000000000002</v>
      </c>
    </row>
    <row r="573" spans="2:8" s="54" customFormat="1" ht="15">
      <c r="B573" s="548"/>
      <c r="C573" s="549"/>
      <c r="D573" s="52" t="s">
        <v>455</v>
      </c>
      <c r="E573" s="149" t="s">
        <v>17</v>
      </c>
      <c r="F573" s="178">
        <v>0.8</v>
      </c>
      <c r="G573" s="178">
        <v>2.1</v>
      </c>
      <c r="H573" s="200">
        <f>-G573*F573</f>
        <v>-1.6800000000000002</v>
      </c>
    </row>
    <row r="574" spans="2:8" s="54" customFormat="1" ht="15.75">
      <c r="B574" s="548"/>
      <c r="C574" s="549"/>
      <c r="D574" s="523" t="s">
        <v>158</v>
      </c>
      <c r="E574" s="149" t="s">
        <v>17</v>
      </c>
      <c r="F574" s="178">
        <v>22.8</v>
      </c>
      <c r="G574" s="178">
        <v>2</v>
      </c>
      <c r="H574" s="200">
        <f>G574*F574*2</f>
        <v>91.2</v>
      </c>
    </row>
    <row r="575" spans="2:8" s="54" customFormat="1" ht="15">
      <c r="B575" s="548"/>
      <c r="C575" s="549"/>
      <c r="D575" s="52" t="s">
        <v>454</v>
      </c>
      <c r="E575" s="149" t="s">
        <v>17</v>
      </c>
      <c r="F575" s="178">
        <v>1.8</v>
      </c>
      <c r="G575" s="178">
        <v>0.8</v>
      </c>
      <c r="H575" s="200">
        <f>-G575*F575*3</f>
        <v>-4.32</v>
      </c>
    </row>
    <row r="576" spans="2:8" s="54" customFormat="1" ht="15">
      <c r="B576" s="548"/>
      <c r="C576" s="549"/>
      <c r="D576" s="52" t="s">
        <v>455</v>
      </c>
      <c r="E576" s="149" t="s">
        <v>17</v>
      </c>
      <c r="F576" s="178">
        <v>0.8</v>
      </c>
      <c r="G576" s="178">
        <v>2.1</v>
      </c>
      <c r="H576" s="200">
        <f>-G576*F576</f>
        <v>-1.6800000000000002</v>
      </c>
    </row>
    <row r="577" spans="2:10" s="54" customFormat="1" ht="15.75">
      <c r="B577" s="548"/>
      <c r="C577" s="549"/>
      <c r="D577" s="518" t="s">
        <v>389</v>
      </c>
      <c r="E577" s="514" t="s">
        <v>17</v>
      </c>
      <c r="F577" s="517">
        <v>28</v>
      </c>
      <c r="G577" s="517">
        <v>21.1</v>
      </c>
      <c r="H577" s="522">
        <f t="shared" ref="H577" si="44">F577*G577</f>
        <v>590.80000000000007</v>
      </c>
    </row>
    <row r="578" spans="2:10" s="54" customFormat="1" ht="15.75">
      <c r="B578" s="548"/>
      <c r="C578" s="549"/>
      <c r="D578" s="154" t="s">
        <v>507</v>
      </c>
      <c r="E578" s="212" t="s">
        <v>17</v>
      </c>
      <c r="F578" s="369" t="s">
        <v>18</v>
      </c>
      <c r="G578" s="369" t="s">
        <v>19</v>
      </c>
      <c r="H578" s="203">
        <f>SUM(H579:H581)</f>
        <v>75.2</v>
      </c>
    </row>
    <row r="579" spans="2:10" s="54" customFormat="1" ht="15">
      <c r="B579" s="548"/>
      <c r="C579" s="549"/>
      <c r="D579" s="52" t="s">
        <v>157</v>
      </c>
      <c r="E579" s="211" t="s">
        <v>17</v>
      </c>
      <c r="F579" s="271">
        <v>6.7</v>
      </c>
      <c r="G579" s="271">
        <v>4.7</v>
      </c>
      <c r="H579" s="268">
        <f t="shared" ref="H579:H581" si="45">F579*G579</f>
        <v>31.490000000000002</v>
      </c>
    </row>
    <row r="580" spans="2:10" s="54" customFormat="1" ht="15">
      <c r="B580" s="548"/>
      <c r="C580" s="549"/>
      <c r="D580" s="52" t="s">
        <v>158</v>
      </c>
      <c r="E580" s="211" t="s">
        <v>17</v>
      </c>
      <c r="F580" s="271">
        <v>4.7</v>
      </c>
      <c r="G580" s="271">
        <v>6.7</v>
      </c>
      <c r="H580" s="268">
        <f t="shared" si="45"/>
        <v>31.490000000000002</v>
      </c>
    </row>
    <row r="581" spans="2:10" s="54" customFormat="1" ht="15">
      <c r="B581" s="551"/>
      <c r="C581" s="552"/>
      <c r="D581" s="52" t="s">
        <v>159</v>
      </c>
      <c r="E581" s="211" t="s">
        <v>17</v>
      </c>
      <c r="F581" s="271">
        <v>4.7</v>
      </c>
      <c r="G581" s="271">
        <v>2.6</v>
      </c>
      <c r="H581" s="268">
        <f t="shared" si="45"/>
        <v>12.22</v>
      </c>
    </row>
    <row r="582" spans="2:10" s="54" customFormat="1" ht="15.75">
      <c r="B582" s="553" t="s">
        <v>512</v>
      </c>
      <c r="C582" s="554"/>
      <c r="D582" s="646"/>
      <c r="E582" s="554"/>
      <c r="F582" s="554"/>
      <c r="G582" s="554"/>
      <c r="H582" s="555"/>
    </row>
    <row r="583" spans="2:10" s="54" customFormat="1" ht="15.75">
      <c r="B583" s="353" t="s">
        <v>513</v>
      </c>
      <c r="C583" s="290">
        <v>270000</v>
      </c>
      <c r="D583" s="559" t="s">
        <v>514</v>
      </c>
      <c r="E583" s="554"/>
      <c r="F583" s="554"/>
      <c r="G583" s="560"/>
      <c r="H583" s="202" t="s">
        <v>13</v>
      </c>
    </row>
    <row r="584" spans="2:10" s="54" customFormat="1" ht="19.5">
      <c r="B584" s="347" t="s">
        <v>515</v>
      </c>
      <c r="C584" s="292">
        <v>270501</v>
      </c>
      <c r="D584" s="473" t="s">
        <v>516</v>
      </c>
      <c r="E584" s="108" t="s">
        <v>17</v>
      </c>
      <c r="F584" s="575" t="s">
        <v>34</v>
      </c>
      <c r="G584" s="576"/>
      <c r="H584" s="199">
        <f>H585</f>
        <v>102.2</v>
      </c>
    </row>
    <row r="585" spans="2:10" s="54" customFormat="1" ht="15">
      <c r="B585" s="649"/>
      <c r="C585" s="650"/>
      <c r="D585" s="58" t="s">
        <v>517</v>
      </c>
      <c r="E585" s="125" t="s">
        <v>17</v>
      </c>
      <c r="F585" s="651">
        <v>102.2</v>
      </c>
      <c r="G585" s="652"/>
      <c r="H585" s="201">
        <f>F585</f>
        <v>102.2</v>
      </c>
    </row>
    <row r="586" spans="2:10" s="54" customFormat="1" ht="19.5">
      <c r="B586" s="347" t="s">
        <v>518</v>
      </c>
      <c r="C586" s="292" t="s">
        <v>519</v>
      </c>
      <c r="D586" s="473" t="s">
        <v>520</v>
      </c>
      <c r="E586" s="108" t="s">
        <v>171</v>
      </c>
      <c r="F586" s="176" t="s">
        <v>18</v>
      </c>
      <c r="G586" s="176" t="s">
        <v>41</v>
      </c>
      <c r="H586" s="199">
        <f>SUM(H587:H587)</f>
        <v>0.60000000000000009</v>
      </c>
    </row>
    <row r="587" spans="2:10" s="54" customFormat="1" ht="15" customHeight="1">
      <c r="B587" s="540"/>
      <c r="C587" s="541"/>
      <c r="D587" s="53" t="s">
        <v>521</v>
      </c>
      <c r="E587" s="125" t="s">
        <v>171</v>
      </c>
      <c r="F587" s="179">
        <v>0.4</v>
      </c>
      <c r="G587" s="179">
        <v>0.5</v>
      </c>
      <c r="H587" s="200">
        <f>G587*F587*3</f>
        <v>0.60000000000000009</v>
      </c>
    </row>
    <row r="588" spans="2:10" s="54" customFormat="1" ht="15.6" customHeight="1">
      <c r="B588" s="347" t="s">
        <v>522</v>
      </c>
      <c r="C588" s="292" t="s">
        <v>523</v>
      </c>
      <c r="D588" s="473" t="s">
        <v>524</v>
      </c>
      <c r="E588" s="108" t="s">
        <v>17</v>
      </c>
      <c r="F588" s="275" t="s">
        <v>18</v>
      </c>
      <c r="G588" s="306" t="s">
        <v>19</v>
      </c>
      <c r="H588" s="308">
        <f>SUM(H589:H590)</f>
        <v>1.8835000000000002</v>
      </c>
    </row>
    <row r="589" spans="2:10" s="54" customFormat="1" ht="15">
      <c r="B589" s="581"/>
      <c r="C589" s="582"/>
      <c r="D589" s="53" t="s">
        <v>159</v>
      </c>
      <c r="E589" s="279" t="s">
        <v>17</v>
      </c>
      <c r="F589" s="280">
        <v>4.7</v>
      </c>
      <c r="G589" s="307">
        <v>0.53</v>
      </c>
      <c r="H589" s="309">
        <f>F589*G589</f>
        <v>2.4910000000000001</v>
      </c>
      <c r="I589" s="571"/>
      <c r="J589" s="571"/>
    </row>
    <row r="590" spans="2:10" s="54" customFormat="1" ht="15">
      <c r="B590" s="581"/>
      <c r="C590" s="582"/>
      <c r="D590" s="53" t="s">
        <v>525</v>
      </c>
      <c r="E590" s="279" t="s">
        <v>17</v>
      </c>
      <c r="F590" s="280">
        <v>0.45</v>
      </c>
      <c r="G590" s="307">
        <v>0.45</v>
      </c>
      <c r="H590" s="309">
        <f>-(F590*G590)*3</f>
        <v>-0.60750000000000004</v>
      </c>
      <c r="I590" s="571"/>
      <c r="J590" s="571"/>
    </row>
    <row r="591" spans="2:10" s="54" customFormat="1" ht="19.5">
      <c r="B591" s="347" t="s">
        <v>526</v>
      </c>
      <c r="C591" s="292" t="s">
        <v>527</v>
      </c>
      <c r="D591" s="473" t="s">
        <v>528</v>
      </c>
      <c r="E591" s="108" t="s">
        <v>177</v>
      </c>
      <c r="F591" s="647" t="s">
        <v>18</v>
      </c>
      <c r="G591" s="648"/>
      <c r="H591" s="310">
        <f>H592+H593+H594</f>
        <v>4.32</v>
      </c>
    </row>
    <row r="592" spans="2:10" s="54" customFormat="1" ht="15.75">
      <c r="B592" s="540"/>
      <c r="C592" s="541"/>
      <c r="D592" s="421" t="s">
        <v>157</v>
      </c>
      <c r="E592" s="125" t="s">
        <v>177</v>
      </c>
      <c r="F592" s="644">
        <v>1.84</v>
      </c>
      <c r="G592" s="645"/>
      <c r="H592" s="423">
        <v>1.84</v>
      </c>
    </row>
    <row r="593" spans="2:9" s="54" customFormat="1" ht="15">
      <c r="B593" s="542"/>
      <c r="C593" s="543"/>
      <c r="D593" s="421" t="s">
        <v>158</v>
      </c>
      <c r="E593" s="125" t="s">
        <v>177</v>
      </c>
      <c r="F593" s="644">
        <v>1.84</v>
      </c>
      <c r="G593" s="645"/>
      <c r="H593" s="201">
        <f>F593</f>
        <v>1.84</v>
      </c>
    </row>
    <row r="594" spans="2:9" s="54" customFormat="1" ht="15.75">
      <c r="B594" s="542"/>
      <c r="C594" s="543"/>
      <c r="D594" s="422" t="s">
        <v>159</v>
      </c>
      <c r="E594" s="125" t="s">
        <v>177</v>
      </c>
      <c r="F594" s="644">
        <v>0.64</v>
      </c>
      <c r="G594" s="645"/>
      <c r="H594" s="424">
        <v>0.64</v>
      </c>
    </row>
    <row r="595" spans="2:9" s="54" customFormat="1" ht="19.5">
      <c r="B595" s="344" t="s">
        <v>529</v>
      </c>
      <c r="C595" s="366">
        <v>20600</v>
      </c>
      <c r="D595" s="473" t="s">
        <v>530</v>
      </c>
      <c r="E595" s="108" t="s">
        <v>17</v>
      </c>
      <c r="F595" s="176" t="s">
        <v>18</v>
      </c>
      <c r="G595" s="176" t="s">
        <v>41</v>
      </c>
      <c r="H595" s="199">
        <f>H596</f>
        <v>36</v>
      </c>
    </row>
    <row r="596" spans="2:9" s="54" customFormat="1" ht="15.75">
      <c r="B596" s="657"/>
      <c r="C596" s="541"/>
      <c r="D596" s="153" t="s">
        <v>531</v>
      </c>
      <c r="E596" s="125" t="s">
        <v>17</v>
      </c>
      <c r="F596" s="55">
        <v>12</v>
      </c>
      <c r="G596" s="55">
        <v>3</v>
      </c>
      <c r="H596" s="200">
        <f>G596*F596</f>
        <v>36</v>
      </c>
    </row>
    <row r="597" spans="2:9" s="54" customFormat="1" ht="15">
      <c r="B597" s="297"/>
      <c r="C597" s="370"/>
      <c r="D597" s="371"/>
      <c r="E597" s="372"/>
      <c r="F597" s="373"/>
      <c r="G597" s="374"/>
      <c r="H597" s="375"/>
    </row>
    <row r="598" spans="2:9" s="54" customFormat="1" ht="18">
      <c r="B598" s="314"/>
      <c r="C598" s="376" t="s">
        <v>532</v>
      </c>
      <c r="D598" s="376"/>
      <c r="E598" s="376"/>
      <c r="F598" s="376"/>
      <c r="G598" s="376"/>
      <c r="H598" s="377"/>
      <c r="I598" s="378"/>
    </row>
    <row r="599" spans="2:9" s="54" customFormat="1" ht="18">
      <c r="B599" s="302"/>
      <c r="C599" s="379"/>
      <c r="D599" s="380"/>
      <c r="E599" s="660"/>
      <c r="F599" s="660"/>
      <c r="G599" s="660"/>
      <c r="H599" s="661"/>
      <c r="I599" s="382"/>
    </row>
    <row r="600" spans="2:9" s="54" customFormat="1" ht="18">
      <c r="B600" s="302"/>
      <c r="C600" s="41"/>
      <c r="D600" s="383" t="s">
        <v>533</v>
      </c>
      <c r="E600" s="383"/>
      <c r="F600" s="383"/>
      <c r="G600" s="383"/>
      <c r="H600" s="384"/>
      <c r="I600" s="382"/>
    </row>
    <row r="601" spans="2:9" s="54" customFormat="1" ht="15" customHeight="1">
      <c r="B601" s="302"/>
      <c r="C601" s="41"/>
      <c r="D601" s="334" t="s">
        <v>534</v>
      </c>
      <c r="E601" s="334"/>
      <c r="F601" s="334"/>
      <c r="G601" s="334"/>
      <c r="H601" s="332"/>
      <c r="I601" s="312"/>
    </row>
    <row r="602" spans="2:9" s="54" customFormat="1" ht="15" customHeight="1">
      <c r="B602" s="302"/>
      <c r="C602" s="41"/>
      <c r="D602" s="334" t="s">
        <v>535</v>
      </c>
      <c r="E602" s="334"/>
      <c r="F602" s="334"/>
      <c r="G602" s="334"/>
      <c r="H602" s="332"/>
      <c r="I602" s="312"/>
    </row>
    <row r="603" spans="2:9" s="54" customFormat="1" ht="15" customHeight="1">
      <c r="B603" s="315"/>
      <c r="C603" s="304"/>
      <c r="D603" s="311"/>
      <c r="E603" s="311"/>
      <c r="F603" s="311"/>
      <c r="G603" s="311"/>
      <c r="H603" s="333"/>
      <c r="I603" s="313"/>
    </row>
    <row r="604" spans="2:9" s="54" customFormat="1" ht="15">
      <c r="B604" s="5"/>
      <c r="C604" s="5"/>
      <c r="D604" s="7"/>
      <c r="E604" s="4"/>
      <c r="F604" s="9"/>
      <c r="G604" s="9"/>
      <c r="H604" s="105"/>
    </row>
    <row r="605" spans="2:9" s="54" customFormat="1" ht="15">
      <c r="B605" s="5"/>
      <c r="C605" s="5"/>
      <c r="D605" s="7"/>
      <c r="E605" s="4"/>
      <c r="F605" s="9"/>
      <c r="G605" s="9"/>
      <c r="H605" s="105"/>
    </row>
    <row r="606" spans="2:9" s="54" customFormat="1" ht="15">
      <c r="B606" s="5"/>
      <c r="C606" s="5"/>
      <c r="D606" s="7"/>
      <c r="E606" s="4"/>
      <c r="F606" s="9"/>
      <c r="G606" s="9"/>
      <c r="H606" s="105"/>
    </row>
    <row r="607" spans="2:9" s="54" customFormat="1" ht="15">
      <c r="B607" s="5"/>
      <c r="C607" s="5"/>
      <c r="D607" s="7"/>
      <c r="E607" s="4"/>
      <c r="F607" s="9"/>
      <c r="G607" s="9"/>
      <c r="H607" s="105"/>
    </row>
    <row r="608" spans="2:9" s="54" customFormat="1" ht="15">
      <c r="B608" s="5"/>
      <c r="C608" s="5"/>
      <c r="D608" s="7"/>
      <c r="E608" s="4"/>
      <c r="F608" s="9"/>
      <c r="G608" s="9"/>
      <c r="H608" s="105"/>
    </row>
    <row r="609" spans="2:8" s="54" customFormat="1" ht="15">
      <c r="B609" s="5"/>
      <c r="C609" s="5"/>
      <c r="D609" s="7"/>
      <c r="E609" s="4"/>
      <c r="F609" s="9"/>
      <c r="G609" s="9"/>
      <c r="H609" s="105"/>
    </row>
    <row r="610" spans="2:8" s="54" customFormat="1" ht="15">
      <c r="B610" s="5"/>
      <c r="C610" s="5"/>
      <c r="D610" s="7"/>
      <c r="E610" s="4"/>
      <c r="F610" s="9"/>
      <c r="G610" s="9"/>
      <c r="H610" s="105"/>
    </row>
    <row r="611" spans="2:8" s="54" customFormat="1" ht="15">
      <c r="B611" s="5"/>
      <c r="C611" s="5"/>
      <c r="D611" s="7"/>
      <c r="E611" s="4"/>
      <c r="F611" s="9"/>
      <c r="G611" s="9"/>
      <c r="H611" s="105"/>
    </row>
    <row r="612" spans="2:8" s="54" customFormat="1" ht="15">
      <c r="B612" s="5"/>
      <c r="C612" s="5"/>
      <c r="D612" s="7"/>
      <c r="E612" s="4"/>
      <c r="F612" s="9"/>
      <c r="G612" s="9"/>
      <c r="H612" s="105"/>
    </row>
    <row r="613" spans="2:8" s="54" customFormat="1" ht="15">
      <c r="B613" s="5"/>
      <c r="C613" s="5"/>
      <c r="D613" s="7"/>
      <c r="E613" s="4"/>
      <c r="F613" s="9"/>
      <c r="G613" s="9"/>
      <c r="H613" s="105"/>
    </row>
    <row r="614" spans="2:8" s="54" customFormat="1" ht="15">
      <c r="B614" s="5"/>
      <c r="C614" s="5"/>
      <c r="D614" s="7"/>
      <c r="E614" s="4"/>
      <c r="F614" s="9"/>
      <c r="G614" s="9"/>
      <c r="H614" s="105"/>
    </row>
    <row r="615" spans="2:8" s="54" customFormat="1" ht="15">
      <c r="B615" s="5"/>
      <c r="C615" s="5"/>
      <c r="D615" s="7"/>
      <c r="E615" s="4"/>
      <c r="F615" s="9"/>
      <c r="G615" s="9"/>
      <c r="H615" s="105"/>
    </row>
    <row r="616" spans="2:8" s="54" customFormat="1" ht="15">
      <c r="B616" s="5"/>
      <c r="C616" s="5"/>
      <c r="D616" s="7"/>
      <c r="E616" s="4"/>
      <c r="F616" s="9"/>
      <c r="G616" s="9"/>
      <c r="H616" s="105"/>
    </row>
    <row r="617" spans="2:8" s="54" customFormat="1" ht="15">
      <c r="B617" s="5"/>
      <c r="C617" s="5"/>
      <c r="D617" s="7"/>
      <c r="E617" s="4"/>
      <c r="F617" s="9"/>
      <c r="G617" s="9"/>
      <c r="H617" s="105"/>
    </row>
    <row r="618" spans="2:8" s="54" customFormat="1" ht="15">
      <c r="B618" s="5"/>
      <c r="C618" s="5"/>
      <c r="D618" s="7"/>
      <c r="E618" s="4"/>
      <c r="F618" s="9"/>
      <c r="G618" s="9"/>
      <c r="H618" s="105"/>
    </row>
    <row r="619" spans="2:8" s="54" customFormat="1" ht="15">
      <c r="B619" s="5"/>
      <c r="C619" s="5"/>
      <c r="D619" s="7"/>
      <c r="E619" s="4"/>
      <c r="F619" s="9"/>
      <c r="G619" s="9"/>
      <c r="H619" s="105"/>
    </row>
    <row r="620" spans="2:8" s="54" customFormat="1" ht="15">
      <c r="B620" s="5"/>
      <c r="C620" s="5"/>
      <c r="D620" s="7"/>
      <c r="E620" s="4"/>
      <c r="F620" s="9"/>
      <c r="G620" s="9"/>
      <c r="H620" s="105"/>
    </row>
    <row r="621" spans="2:8" s="54" customFormat="1" ht="15">
      <c r="B621" s="5"/>
      <c r="C621" s="5"/>
      <c r="D621" s="7"/>
      <c r="E621" s="4"/>
      <c r="F621" s="9"/>
      <c r="G621" s="9"/>
      <c r="H621" s="105"/>
    </row>
    <row r="622" spans="2:8" s="54" customFormat="1" ht="15">
      <c r="B622" s="5"/>
      <c r="C622" s="5"/>
      <c r="D622" s="7"/>
      <c r="E622" s="4"/>
      <c r="F622" s="9"/>
      <c r="G622" s="9"/>
      <c r="H622" s="105"/>
    </row>
    <row r="623" spans="2:8" s="54" customFormat="1" ht="15">
      <c r="B623" s="5"/>
      <c r="C623" s="5"/>
      <c r="D623" s="7"/>
      <c r="E623" s="4"/>
      <c r="F623" s="9"/>
      <c r="G623" s="9"/>
      <c r="H623" s="105"/>
    </row>
    <row r="624" spans="2:8" s="54" customFormat="1" ht="15">
      <c r="B624" s="5"/>
      <c r="C624" s="5"/>
      <c r="D624" s="7"/>
      <c r="E624" s="4"/>
      <c r="F624" s="9"/>
      <c r="G624" s="9"/>
      <c r="H624" s="105"/>
    </row>
    <row r="625" spans="2:8" s="54" customFormat="1" ht="15">
      <c r="B625" s="5"/>
      <c r="C625" s="5"/>
      <c r="D625" s="7"/>
      <c r="E625" s="4"/>
      <c r="F625" s="9"/>
      <c r="G625" s="9"/>
      <c r="H625" s="105"/>
    </row>
    <row r="626" spans="2:8" s="54" customFormat="1" ht="15">
      <c r="B626" s="5"/>
      <c r="C626" s="5"/>
      <c r="D626" s="7"/>
      <c r="E626" s="4"/>
      <c r="F626" s="9"/>
      <c r="G626" s="9"/>
      <c r="H626" s="105"/>
    </row>
    <row r="627" spans="2:8" s="54" customFormat="1" ht="15">
      <c r="B627" s="5"/>
      <c r="C627" s="5"/>
      <c r="D627" s="7"/>
      <c r="E627" s="4"/>
      <c r="F627" s="9"/>
      <c r="G627" s="9"/>
      <c r="H627" s="105"/>
    </row>
    <row r="628" spans="2:8" s="54" customFormat="1" ht="15">
      <c r="B628" s="5"/>
      <c r="C628" s="5"/>
      <c r="D628" s="7"/>
      <c r="E628" s="4"/>
      <c r="F628" s="9"/>
      <c r="G628" s="9"/>
      <c r="H628" s="105"/>
    </row>
    <row r="629" spans="2:8" s="54" customFormat="1" ht="15">
      <c r="B629" s="5"/>
      <c r="C629" s="5"/>
      <c r="D629" s="7"/>
      <c r="E629" s="4"/>
      <c r="F629" s="9"/>
      <c r="G629" s="9"/>
      <c r="H629" s="105"/>
    </row>
    <row r="630" spans="2:8" s="54" customFormat="1" ht="15">
      <c r="B630" s="5"/>
      <c r="C630" s="5"/>
      <c r="D630" s="7"/>
      <c r="E630" s="4"/>
      <c r="F630" s="9"/>
      <c r="G630" s="9"/>
      <c r="H630" s="105"/>
    </row>
    <row r="631" spans="2:8" s="54" customFormat="1" ht="15">
      <c r="B631" s="5"/>
      <c r="C631" s="5"/>
      <c r="D631" s="7"/>
      <c r="E631" s="4"/>
      <c r="F631" s="9"/>
      <c r="G631" s="9"/>
      <c r="H631" s="105"/>
    </row>
    <row r="632" spans="2:8" s="54" customFormat="1" ht="15">
      <c r="B632" s="5"/>
      <c r="C632" s="5"/>
      <c r="D632" s="7"/>
      <c r="E632" s="4"/>
      <c r="F632" s="9"/>
      <c r="G632" s="9"/>
      <c r="H632" s="105"/>
    </row>
    <row r="633" spans="2:8" s="54" customFormat="1" ht="15">
      <c r="B633" s="5"/>
      <c r="C633" s="5"/>
      <c r="D633" s="7"/>
      <c r="E633" s="4"/>
      <c r="F633" s="9"/>
      <c r="G633" s="9"/>
      <c r="H633" s="105"/>
    </row>
    <row r="634" spans="2:8" s="54" customFormat="1" ht="15">
      <c r="B634" s="5"/>
      <c r="C634" s="5"/>
      <c r="D634" s="7"/>
      <c r="E634" s="4"/>
      <c r="F634" s="9"/>
      <c r="G634" s="9"/>
      <c r="H634" s="105"/>
    </row>
    <row r="635" spans="2:8" s="54" customFormat="1" ht="15">
      <c r="B635" s="5"/>
      <c r="C635" s="5"/>
      <c r="D635" s="7"/>
      <c r="E635" s="4"/>
      <c r="F635" s="9"/>
      <c r="G635" s="9"/>
      <c r="H635" s="105"/>
    </row>
    <row r="636" spans="2:8" s="54" customFormat="1" ht="15">
      <c r="B636" s="5"/>
      <c r="C636" s="5"/>
      <c r="D636" s="7"/>
      <c r="E636" s="4"/>
      <c r="F636" s="9"/>
      <c r="G636" s="9"/>
      <c r="H636" s="105"/>
    </row>
    <row r="637" spans="2:8" s="54" customFormat="1" ht="15">
      <c r="B637" s="5"/>
      <c r="C637" s="5"/>
      <c r="D637" s="7"/>
      <c r="E637" s="4"/>
      <c r="F637" s="9"/>
      <c r="G637" s="9"/>
      <c r="H637" s="105"/>
    </row>
    <row r="638" spans="2:8" s="54" customFormat="1" ht="15">
      <c r="B638" s="5"/>
      <c r="C638" s="5"/>
      <c r="D638" s="7"/>
      <c r="E638" s="4"/>
      <c r="F638" s="9"/>
      <c r="G638" s="9"/>
      <c r="H638" s="105"/>
    </row>
    <row r="639" spans="2:8" s="54" customFormat="1" ht="15">
      <c r="B639" s="5"/>
      <c r="C639" s="5"/>
      <c r="D639" s="7"/>
      <c r="E639" s="4"/>
      <c r="F639" s="9"/>
      <c r="G639" s="9"/>
      <c r="H639" s="105"/>
    </row>
    <row r="640" spans="2:8" s="54" customFormat="1" ht="15">
      <c r="B640" s="5"/>
      <c r="C640" s="5"/>
      <c r="D640" s="7"/>
      <c r="E640" s="4"/>
      <c r="F640" s="9"/>
      <c r="G640" s="9"/>
      <c r="H640" s="105"/>
    </row>
    <row r="641" spans="1:8" s="54" customFormat="1" ht="15">
      <c r="B641" s="5"/>
      <c r="C641" s="5"/>
      <c r="D641" s="7"/>
      <c r="E641" s="4"/>
      <c r="F641" s="9"/>
      <c r="G641" s="9"/>
      <c r="H641" s="105"/>
    </row>
    <row r="642" spans="1:8" s="54" customFormat="1" ht="15">
      <c r="B642" s="5"/>
      <c r="C642" s="5"/>
      <c r="D642" s="7"/>
      <c r="E642" s="4"/>
      <c r="F642" s="9"/>
      <c r="G642" s="9"/>
      <c r="H642" s="105"/>
    </row>
    <row r="643" spans="1:8" s="54" customFormat="1" ht="15">
      <c r="B643" s="5"/>
      <c r="C643" s="5"/>
      <c r="D643" s="7"/>
      <c r="E643" s="4"/>
      <c r="F643" s="9"/>
      <c r="G643" s="9"/>
      <c r="H643" s="105"/>
    </row>
    <row r="644" spans="1:8" s="54" customFormat="1" ht="15">
      <c r="B644" s="5"/>
      <c r="C644" s="5"/>
      <c r="D644" s="7"/>
      <c r="E644" s="4"/>
      <c r="F644" s="9"/>
      <c r="G644" s="9"/>
      <c r="H644" s="105"/>
    </row>
    <row r="645" spans="1:8" s="54" customFormat="1" ht="15">
      <c r="B645" s="5"/>
      <c r="C645" s="5"/>
      <c r="D645" s="7"/>
      <c r="E645" s="4"/>
      <c r="F645" s="9"/>
      <c r="G645" s="9"/>
      <c r="H645" s="105"/>
    </row>
    <row r="646" spans="1:8" s="54" customFormat="1" ht="15">
      <c r="B646" s="5"/>
      <c r="C646" s="5"/>
      <c r="D646" s="7"/>
      <c r="E646" s="4"/>
      <c r="F646" s="9"/>
      <c r="G646" s="9"/>
      <c r="H646" s="105"/>
    </row>
    <row r="647" spans="1:8" s="54" customFormat="1" ht="15">
      <c r="B647" s="5"/>
      <c r="C647" s="5"/>
      <c r="D647" s="7"/>
      <c r="E647" s="4"/>
      <c r="F647" s="9"/>
      <c r="G647" s="9"/>
      <c r="H647" s="105"/>
    </row>
    <row r="648" spans="1:8" s="54" customFormat="1" ht="15">
      <c r="B648" s="5"/>
      <c r="C648" s="5"/>
      <c r="D648" s="7"/>
      <c r="E648" s="4"/>
      <c r="F648" s="9"/>
      <c r="G648" s="9"/>
      <c r="H648" s="105"/>
    </row>
    <row r="649" spans="1:8" s="54" customFormat="1" ht="15">
      <c r="B649" s="5"/>
      <c r="C649" s="5"/>
      <c r="D649" s="7"/>
      <c r="E649" s="4"/>
      <c r="F649" s="9"/>
      <c r="G649" s="9"/>
      <c r="H649" s="105"/>
    </row>
    <row r="650" spans="1:8" s="54" customFormat="1" ht="15">
      <c r="B650" s="5"/>
      <c r="C650" s="5"/>
      <c r="D650" s="7"/>
      <c r="E650" s="4"/>
      <c r="F650" s="9"/>
      <c r="G650" s="9"/>
      <c r="H650" s="105"/>
    </row>
    <row r="651" spans="1:8" ht="15">
      <c r="A651" s="54"/>
    </row>
    <row r="652" spans="1:8" ht="15">
      <c r="A652" s="54"/>
    </row>
    <row r="653" spans="1:8" ht="15">
      <c r="A653" s="54"/>
    </row>
  </sheetData>
  <sheetProtection algorithmName="SHA-512" hashValue="lwDLjZhJK+T5DaROaNYugVplZfg0cVoFEswrmiSYaNQYcm/0YbUjyoaMrvi1GRiyEVwfrcRbofT5qK3r+fw9hw==" saltValue="DTY7NdzBJOC9JM7SJpRYMA==" spinCount="100000" sheet="1" formatCells="0" formatColumns="0" formatRows="0" insertColumns="0" insertRows="0" insertHyperlinks="0" deleteColumns="0" deleteRows="0" sort="0" autoFilter="0" pivotTables="0"/>
  <mergeCells count="385">
    <mergeCell ref="B596:C596"/>
    <mergeCell ref="B307:C307"/>
    <mergeCell ref="E599:H599"/>
    <mergeCell ref="B50:C51"/>
    <mergeCell ref="B356:C356"/>
    <mergeCell ref="B370:C370"/>
    <mergeCell ref="F373:G373"/>
    <mergeCell ref="F376:G376"/>
    <mergeCell ref="F397:G397"/>
    <mergeCell ref="B384:C384"/>
    <mergeCell ref="B395:C395"/>
    <mergeCell ref="F392:G392"/>
    <mergeCell ref="F368:G368"/>
    <mergeCell ref="B311:C311"/>
    <mergeCell ref="F235:G235"/>
    <mergeCell ref="F247:G247"/>
    <mergeCell ref="F249:G249"/>
    <mergeCell ref="B103:C104"/>
    <mergeCell ref="B106:C106"/>
    <mergeCell ref="B98:C98"/>
    <mergeCell ref="B95:C96"/>
    <mergeCell ref="B545:C545"/>
    <mergeCell ref="F545:G545"/>
    <mergeCell ref="F359:G359"/>
    <mergeCell ref="F332:G332"/>
    <mergeCell ref="F329:G329"/>
    <mergeCell ref="B321:C321"/>
    <mergeCell ref="F317:G317"/>
    <mergeCell ref="F341:G341"/>
    <mergeCell ref="F326:G326"/>
    <mergeCell ref="F342:G342"/>
    <mergeCell ref="F352:G352"/>
    <mergeCell ref="F351:G351"/>
    <mergeCell ref="F345:G345"/>
    <mergeCell ref="B323:C323"/>
    <mergeCell ref="F343:G343"/>
    <mergeCell ref="F324:G324"/>
    <mergeCell ref="F328:G328"/>
    <mergeCell ref="F325:G325"/>
    <mergeCell ref="F346:G346"/>
    <mergeCell ref="F347:G347"/>
    <mergeCell ref="B350:G350"/>
    <mergeCell ref="F358:G358"/>
    <mergeCell ref="F594:G594"/>
    <mergeCell ref="F385:G385"/>
    <mergeCell ref="F386:G386"/>
    <mergeCell ref="F388:G388"/>
    <mergeCell ref="B582:H582"/>
    <mergeCell ref="F542:G542"/>
    <mergeCell ref="F526:G526"/>
    <mergeCell ref="B514:H514"/>
    <mergeCell ref="B391:C391"/>
    <mergeCell ref="F391:G391"/>
    <mergeCell ref="F394:G394"/>
    <mergeCell ref="B415:H415"/>
    <mergeCell ref="B449:H449"/>
    <mergeCell ref="F591:G591"/>
    <mergeCell ref="F592:G592"/>
    <mergeCell ref="F593:G593"/>
    <mergeCell ref="B587:C587"/>
    <mergeCell ref="B585:C585"/>
    <mergeCell ref="F584:G584"/>
    <mergeCell ref="D583:G583"/>
    <mergeCell ref="F585:G585"/>
    <mergeCell ref="B540:H540"/>
    <mergeCell ref="B387:G387"/>
    <mergeCell ref="B389:C389"/>
    <mergeCell ref="B274:C274"/>
    <mergeCell ref="B276:C276"/>
    <mergeCell ref="B278:C278"/>
    <mergeCell ref="F274:G274"/>
    <mergeCell ref="F333:G333"/>
    <mergeCell ref="F335:G335"/>
    <mergeCell ref="F330:G330"/>
    <mergeCell ref="F355:G355"/>
    <mergeCell ref="F336:G336"/>
    <mergeCell ref="F337:G337"/>
    <mergeCell ref="F338:G338"/>
    <mergeCell ref="F339:G339"/>
    <mergeCell ref="F334:G334"/>
    <mergeCell ref="F353:G353"/>
    <mergeCell ref="B378:C378"/>
    <mergeCell ref="F303:G303"/>
    <mergeCell ref="B380:C380"/>
    <mergeCell ref="F331:G331"/>
    <mergeCell ref="B317:C317"/>
    <mergeCell ref="F344:G344"/>
    <mergeCell ref="B319:C319"/>
    <mergeCell ref="F357:G357"/>
    <mergeCell ref="F301:G301"/>
    <mergeCell ref="F300:G300"/>
    <mergeCell ref="F275:G275"/>
    <mergeCell ref="F276:G276"/>
    <mergeCell ref="F277:G277"/>
    <mergeCell ref="F382:G382"/>
    <mergeCell ref="I5:J5"/>
    <mergeCell ref="F265:G265"/>
    <mergeCell ref="B521:C523"/>
    <mergeCell ref="F464:G464"/>
    <mergeCell ref="F393:G393"/>
    <mergeCell ref="B412:C412"/>
    <mergeCell ref="D399:G399"/>
    <mergeCell ref="B482:C490"/>
    <mergeCell ref="B493:C499"/>
    <mergeCell ref="B478:C480"/>
    <mergeCell ref="B475:H475"/>
    <mergeCell ref="D461:G461"/>
    <mergeCell ref="B454:C454"/>
    <mergeCell ref="B301:C301"/>
    <mergeCell ref="B303:C303"/>
    <mergeCell ref="F383:G383"/>
    <mergeCell ref="B315:C315"/>
    <mergeCell ref="B250:C250"/>
    <mergeCell ref="F244:G244"/>
    <mergeCell ref="F271:G271"/>
    <mergeCell ref="B266:C266"/>
    <mergeCell ref="B268:C268"/>
    <mergeCell ref="B262:C262"/>
    <mergeCell ref="B270:C270"/>
    <mergeCell ref="F310:G310"/>
    <mergeCell ref="B272:C272"/>
    <mergeCell ref="F311:G311"/>
    <mergeCell ref="F306:G306"/>
    <mergeCell ref="F302:G302"/>
    <mergeCell ref="B294:C294"/>
    <mergeCell ref="B288:C288"/>
    <mergeCell ref="B305:C305"/>
    <mergeCell ref="B282:C282"/>
    <mergeCell ref="B309:C309"/>
    <mergeCell ref="F308:G308"/>
    <mergeCell ref="B290:C290"/>
    <mergeCell ref="F307:G307"/>
    <mergeCell ref="F309:G309"/>
    <mergeCell ref="F304:G304"/>
    <mergeCell ref="F305:G305"/>
    <mergeCell ref="F282:G282"/>
    <mergeCell ref="B299:G299"/>
    <mergeCell ref="F295:G295"/>
    <mergeCell ref="B296:C296"/>
    <mergeCell ref="F296:G296"/>
    <mergeCell ref="B284:C284"/>
    <mergeCell ref="D298:G298"/>
    <mergeCell ref="F293:G293"/>
    <mergeCell ref="F294:G294"/>
    <mergeCell ref="F291:G291"/>
    <mergeCell ref="B297:H297"/>
    <mergeCell ref="B292:C292"/>
    <mergeCell ref="F285:G285"/>
    <mergeCell ref="F287:G287"/>
    <mergeCell ref="F290:G290"/>
    <mergeCell ref="F292:G292"/>
    <mergeCell ref="F266:G266"/>
    <mergeCell ref="F262:G262"/>
    <mergeCell ref="B252:C252"/>
    <mergeCell ref="B260:C260"/>
    <mergeCell ref="B254:C254"/>
    <mergeCell ref="B286:C286"/>
    <mergeCell ref="F256:G256"/>
    <mergeCell ref="F257:G257"/>
    <mergeCell ref="F260:G260"/>
    <mergeCell ref="F255:G255"/>
    <mergeCell ref="F254:G254"/>
    <mergeCell ref="F269:G269"/>
    <mergeCell ref="B256:C256"/>
    <mergeCell ref="F264:G264"/>
    <mergeCell ref="B264:C264"/>
    <mergeCell ref="B258:C258"/>
    <mergeCell ref="F253:G253"/>
    <mergeCell ref="F267:G267"/>
    <mergeCell ref="F279:G279"/>
    <mergeCell ref="F263:G263"/>
    <mergeCell ref="F268:G268"/>
    <mergeCell ref="F270:G270"/>
    <mergeCell ref="F272:G272"/>
    <mergeCell ref="B280:C280"/>
    <mergeCell ref="F28:G28"/>
    <mergeCell ref="D62:G62"/>
    <mergeCell ref="F226:G226"/>
    <mergeCell ref="F225:G225"/>
    <mergeCell ref="B232:C232"/>
    <mergeCell ref="B34:C35"/>
    <mergeCell ref="F240:G240"/>
    <mergeCell ref="F227:G227"/>
    <mergeCell ref="B46:C48"/>
    <mergeCell ref="B56:C57"/>
    <mergeCell ref="B230:C230"/>
    <mergeCell ref="B238:C238"/>
    <mergeCell ref="F238:G238"/>
    <mergeCell ref="B223:H223"/>
    <mergeCell ref="D32:G32"/>
    <mergeCell ref="F236:G236"/>
    <mergeCell ref="F54:G54"/>
    <mergeCell ref="B37:C38"/>
    <mergeCell ref="B40:C41"/>
    <mergeCell ref="B61:H61"/>
    <mergeCell ref="B92:C93"/>
    <mergeCell ref="B43:C44"/>
    <mergeCell ref="D31:H31"/>
    <mergeCell ref="F52:G52"/>
    <mergeCell ref="F245:G245"/>
    <mergeCell ref="F241:G241"/>
    <mergeCell ref="B236:C236"/>
    <mergeCell ref="B240:C240"/>
    <mergeCell ref="B242:C242"/>
    <mergeCell ref="F242:G242"/>
    <mergeCell ref="B228:C228"/>
    <mergeCell ref="B244:C244"/>
    <mergeCell ref="B11:C11"/>
    <mergeCell ref="D17:G17"/>
    <mergeCell ref="B22:H22"/>
    <mergeCell ref="B20:C21"/>
    <mergeCell ref="B13:C13"/>
    <mergeCell ref="B15:C15"/>
    <mergeCell ref="F18:G18"/>
    <mergeCell ref="D48:G48"/>
    <mergeCell ref="B196:C198"/>
    <mergeCell ref="B16:H16"/>
    <mergeCell ref="B30:H30"/>
    <mergeCell ref="B25:C26"/>
    <mergeCell ref="B32:C32"/>
    <mergeCell ref="F27:G27"/>
    <mergeCell ref="F29:G29"/>
    <mergeCell ref="B28:C29"/>
    <mergeCell ref="D23:G23"/>
    <mergeCell ref="B1:H1"/>
    <mergeCell ref="B2:H2"/>
    <mergeCell ref="B4:H4"/>
    <mergeCell ref="B8:H8"/>
    <mergeCell ref="D9:G9"/>
    <mergeCell ref="D3:G3"/>
    <mergeCell ref="B6:H6"/>
    <mergeCell ref="B5:H5"/>
    <mergeCell ref="F7:H7"/>
    <mergeCell ref="B108:C125"/>
    <mergeCell ref="B152:C190"/>
    <mergeCell ref="B217:C219"/>
    <mergeCell ref="F53:G53"/>
    <mergeCell ref="B59:C60"/>
    <mergeCell ref="B64:C82"/>
    <mergeCell ref="B53:C54"/>
    <mergeCell ref="D224:G224"/>
    <mergeCell ref="F243:G243"/>
    <mergeCell ref="F228:G228"/>
    <mergeCell ref="F237:G237"/>
    <mergeCell ref="F239:G239"/>
    <mergeCell ref="F231:G231"/>
    <mergeCell ref="F233:G233"/>
    <mergeCell ref="F230:G230"/>
    <mergeCell ref="F232:G232"/>
    <mergeCell ref="F250:G250"/>
    <mergeCell ref="F246:G246"/>
    <mergeCell ref="F234:G234"/>
    <mergeCell ref="F248:G248"/>
    <mergeCell ref="F229:G229"/>
    <mergeCell ref="F251:G251"/>
    <mergeCell ref="F252:G252"/>
    <mergeCell ref="B437:H437"/>
    <mergeCell ref="D450:G450"/>
    <mergeCell ref="B386:C386"/>
    <mergeCell ref="F389:G389"/>
    <mergeCell ref="F390:G390"/>
    <mergeCell ref="F258:G258"/>
    <mergeCell ref="F286:G286"/>
    <mergeCell ref="F289:G289"/>
    <mergeCell ref="F284:G284"/>
    <mergeCell ref="F281:G281"/>
    <mergeCell ref="F280:G280"/>
    <mergeCell ref="F288:G288"/>
    <mergeCell ref="F273:G273"/>
    <mergeCell ref="F278:G278"/>
    <mergeCell ref="F283:G283"/>
    <mergeCell ref="F261:G261"/>
    <mergeCell ref="F259:G259"/>
    <mergeCell ref="B374:C374"/>
    <mergeCell ref="F361:G361"/>
    <mergeCell ref="F364:G364"/>
    <mergeCell ref="F370:G370"/>
    <mergeCell ref="B366:C366"/>
    <mergeCell ref="F378:G378"/>
    <mergeCell ref="F366:G366"/>
    <mergeCell ref="F371:G371"/>
    <mergeCell ref="F369:G369"/>
    <mergeCell ref="F367:G367"/>
    <mergeCell ref="F365:G365"/>
    <mergeCell ref="F363:G363"/>
    <mergeCell ref="F375:G375"/>
    <mergeCell ref="B362:C362"/>
    <mergeCell ref="B376:C376"/>
    <mergeCell ref="F377:G377"/>
    <mergeCell ref="F374:G374"/>
    <mergeCell ref="F362:G362"/>
    <mergeCell ref="B372:C372"/>
    <mergeCell ref="F372:G372"/>
    <mergeCell ref="B382:C382"/>
    <mergeCell ref="F312:G312"/>
    <mergeCell ref="F313:G313"/>
    <mergeCell ref="F356:G356"/>
    <mergeCell ref="B354:C354"/>
    <mergeCell ref="F360:G360"/>
    <mergeCell ref="B313:C313"/>
    <mergeCell ref="F323:G323"/>
    <mergeCell ref="F318:G318"/>
    <mergeCell ref="F319:G319"/>
    <mergeCell ref="F315:G315"/>
    <mergeCell ref="F314:G314"/>
    <mergeCell ref="F327:G327"/>
    <mergeCell ref="B358:C358"/>
    <mergeCell ref="F316:G316"/>
    <mergeCell ref="F348:G348"/>
    <mergeCell ref="F349:G349"/>
    <mergeCell ref="F322:G322"/>
    <mergeCell ref="F340:G340"/>
    <mergeCell ref="F321:G321"/>
    <mergeCell ref="B352:C352"/>
    <mergeCell ref="B360:C360"/>
    <mergeCell ref="F354:G354"/>
    <mergeCell ref="F320:G320"/>
    <mergeCell ref="B440:C443"/>
    <mergeCell ref="F381:G381"/>
    <mergeCell ref="F379:G379"/>
    <mergeCell ref="B528:H528"/>
    <mergeCell ref="B589:C590"/>
    <mergeCell ref="B418:C425"/>
    <mergeCell ref="I589:J589"/>
    <mergeCell ref="F462:G462"/>
    <mergeCell ref="B463:C464"/>
    <mergeCell ref="F453:G453"/>
    <mergeCell ref="F452:G452"/>
    <mergeCell ref="B460:H460"/>
    <mergeCell ref="B452:C452"/>
    <mergeCell ref="F451:G451"/>
    <mergeCell ref="B445:C447"/>
    <mergeCell ref="F548:G548"/>
    <mergeCell ref="B549:C549"/>
    <mergeCell ref="F549:G549"/>
    <mergeCell ref="D438:G438"/>
    <mergeCell ref="F380:G380"/>
    <mergeCell ref="F396:G396"/>
    <mergeCell ref="B397:C397"/>
    <mergeCell ref="D416:G416"/>
    <mergeCell ref="F384:G384"/>
    <mergeCell ref="B531:C533"/>
    <mergeCell ref="F543:G543"/>
    <mergeCell ref="F531:G531"/>
    <mergeCell ref="F533:G533"/>
    <mergeCell ref="F538:G538"/>
    <mergeCell ref="D529:G529"/>
    <mergeCell ref="F530:G530"/>
    <mergeCell ref="D476:G476"/>
    <mergeCell ref="F534:G534"/>
    <mergeCell ref="F539:G539"/>
    <mergeCell ref="F535:G535"/>
    <mergeCell ref="I590:J590"/>
    <mergeCell ref="F466:G466"/>
    <mergeCell ref="F463:G463"/>
    <mergeCell ref="F532:G532"/>
    <mergeCell ref="F546:G546"/>
    <mergeCell ref="F395:G395"/>
    <mergeCell ref="F465:G465"/>
    <mergeCell ref="F454:G454"/>
    <mergeCell ref="F524:G524"/>
    <mergeCell ref="B592:C594"/>
    <mergeCell ref="B393:C393"/>
    <mergeCell ref="B364:C364"/>
    <mergeCell ref="B553:C566"/>
    <mergeCell ref="B571:C581"/>
    <mergeCell ref="B550:H550"/>
    <mergeCell ref="B547:C547"/>
    <mergeCell ref="B543:C543"/>
    <mergeCell ref="B568:C569"/>
    <mergeCell ref="D551:G551"/>
    <mergeCell ref="F544:G544"/>
    <mergeCell ref="D541:G541"/>
    <mergeCell ref="F547:G547"/>
    <mergeCell ref="D467:G467"/>
    <mergeCell ref="B466:C466"/>
    <mergeCell ref="F537:G537"/>
    <mergeCell ref="B525:C527"/>
    <mergeCell ref="D515:G515"/>
    <mergeCell ref="B398:H398"/>
    <mergeCell ref="B368:C368"/>
    <mergeCell ref="F536:G536"/>
    <mergeCell ref="F527:G527"/>
    <mergeCell ref="B536:C538"/>
    <mergeCell ref="F525:G525"/>
  </mergeCells>
  <phoneticPr fontId="6" type="noConversion"/>
  <conditionalFormatting sqref="D11 D13 D460">
    <cfRule type="containsText" dxfId="39" priority="1107" operator="containsText" text="m2">
      <formula>NOT(ISERROR(SEARCH("m2",D11)))</formula>
    </cfRule>
  </conditionalFormatting>
  <conditionalFormatting sqref="D15">
    <cfRule type="containsText" dxfId="38" priority="14" operator="containsText" text="m2">
      <formula>NOT(ISERROR(SEARCH("m2",D15)))</formula>
    </cfRule>
  </conditionalFormatting>
  <conditionalFormatting sqref="D20:D21">
    <cfRule type="containsText" dxfId="37" priority="15" operator="containsText" text="m2">
      <formula>NOT(ISERROR(SEARCH("m2",D20)))</formula>
    </cfRule>
  </conditionalFormatting>
  <conditionalFormatting sqref="D226">
    <cfRule type="containsText" dxfId="36" priority="101" operator="containsText" text="m2">
      <formula>NOT(ISERROR(SEARCH("m2",D226)))</formula>
    </cfRule>
  </conditionalFormatting>
  <conditionalFormatting sqref="D228">
    <cfRule type="containsText" dxfId="35" priority="99" operator="containsText" text="m2">
      <formula>NOT(ISERROR(SEARCH("m2",D228)))</formula>
    </cfRule>
  </conditionalFormatting>
  <conditionalFormatting sqref="D230 D232 D236 D240 D242 D244 D250 D252 D254 D256 D258 D260 D262 D264 D274 D276 D278 D280 D284 D286 D288 D290 D292">
    <cfRule type="containsText" dxfId="34" priority="989" operator="containsText" text="m2">
      <formula>NOT(ISERROR(SEARCH("m2",D230)))</formula>
    </cfRule>
  </conditionalFormatting>
  <conditionalFormatting sqref="D234">
    <cfRule type="containsText" dxfId="33" priority="22" operator="containsText" text="m2">
      <formula>NOT(ISERROR(SEARCH("m2",D234)))</formula>
    </cfRule>
  </conditionalFormatting>
  <conditionalFormatting sqref="D238">
    <cfRule type="containsText" dxfId="32" priority="100" operator="containsText" text="m2">
      <formula>NOT(ISERROR(SEARCH("m2",D238)))</formula>
    </cfRule>
  </conditionalFormatting>
  <conditionalFormatting sqref="D246">
    <cfRule type="containsText" dxfId="31" priority="21" operator="containsText" text="m2">
      <formula>NOT(ISERROR(SEARCH("m2",D246)))</formula>
    </cfRule>
  </conditionalFormatting>
  <conditionalFormatting sqref="D248">
    <cfRule type="containsText" dxfId="30" priority="20" operator="containsText" text="m2">
      <formula>NOT(ISERROR(SEARCH("m2",D248)))</formula>
    </cfRule>
  </conditionalFormatting>
  <conditionalFormatting sqref="D266">
    <cfRule type="containsText" dxfId="29" priority="988" operator="containsText" text="m2">
      <formula>NOT(ISERROR(SEARCH("m2",D266)))</formula>
    </cfRule>
  </conditionalFormatting>
  <conditionalFormatting sqref="D268">
    <cfRule type="containsText" dxfId="28" priority="987" operator="containsText" text="m2">
      <formula>NOT(ISERROR(SEARCH("m2",D268)))</formula>
    </cfRule>
  </conditionalFormatting>
  <conditionalFormatting sqref="D270">
    <cfRule type="containsText" dxfId="27" priority="986" operator="containsText" text="m2">
      <formula>NOT(ISERROR(SEARCH("m2",D270)))</formula>
    </cfRule>
  </conditionalFormatting>
  <conditionalFormatting sqref="D272">
    <cfRule type="containsText" dxfId="26" priority="985" operator="containsText" text="m2">
      <formula>NOT(ISERROR(SEARCH("m2",D272)))</formula>
    </cfRule>
  </conditionalFormatting>
  <conditionalFormatting sqref="D282">
    <cfRule type="containsText" dxfId="25" priority="18" operator="containsText" text="m2">
      <formula>NOT(ISERROR(SEARCH("m2",D282)))</formula>
    </cfRule>
  </conditionalFormatting>
  <conditionalFormatting sqref="D294:D296">
    <cfRule type="containsText" dxfId="24" priority="19" operator="containsText" text="m2">
      <formula>NOT(ISERROR(SEARCH("m2",D294)))</formula>
    </cfRule>
  </conditionalFormatting>
  <conditionalFormatting sqref="D301">
    <cfRule type="containsText" dxfId="23" priority="13" operator="containsText" text="m2">
      <formula>NOT(ISERROR(SEARCH("m2",D301)))</formula>
    </cfRule>
  </conditionalFormatting>
  <conditionalFormatting sqref="D303">
    <cfRule type="containsText" dxfId="22" priority="12" operator="containsText" text="m2">
      <formula>NOT(ISERROR(SEARCH("m2",D303)))</formula>
    </cfRule>
  </conditionalFormatting>
  <conditionalFormatting sqref="D305">
    <cfRule type="containsText" dxfId="21" priority="11" operator="containsText" text="m2">
      <formula>NOT(ISERROR(SEARCH("m2",D305)))</formula>
    </cfRule>
  </conditionalFormatting>
  <conditionalFormatting sqref="D307">
    <cfRule type="containsText" dxfId="20" priority="10" operator="containsText" text="m2">
      <formula>NOT(ISERROR(SEARCH("m2",D307)))</formula>
    </cfRule>
  </conditionalFormatting>
  <conditionalFormatting sqref="D309">
    <cfRule type="containsText" dxfId="19" priority="9" operator="containsText" text="m2">
      <formula>NOT(ISERROR(SEARCH("m2",D309)))</formula>
    </cfRule>
  </conditionalFormatting>
  <conditionalFormatting sqref="D311">
    <cfRule type="containsText" dxfId="18" priority="8" operator="containsText" text="m2">
      <formula>NOT(ISERROR(SEARCH("m2",D311)))</formula>
    </cfRule>
  </conditionalFormatting>
  <conditionalFormatting sqref="D313">
    <cfRule type="containsText" dxfId="17" priority="7" operator="containsText" text="m2">
      <formula>NOT(ISERROR(SEARCH("m2",D313)))</formula>
    </cfRule>
  </conditionalFormatting>
  <conditionalFormatting sqref="D315">
    <cfRule type="containsText" dxfId="16" priority="6" operator="containsText" text="m2">
      <formula>NOT(ISERROR(SEARCH("m2",D315)))</formula>
    </cfRule>
  </conditionalFormatting>
  <conditionalFormatting sqref="D317">
    <cfRule type="containsText" dxfId="15" priority="5" operator="containsText" text="m2">
      <formula>NOT(ISERROR(SEARCH("m2",D317)))</formula>
    </cfRule>
  </conditionalFormatting>
  <conditionalFormatting sqref="D319">
    <cfRule type="containsText" dxfId="14" priority="3" operator="containsText" text="m2">
      <formula>NOT(ISERROR(SEARCH("m2",D319)))</formula>
    </cfRule>
  </conditionalFormatting>
  <conditionalFormatting sqref="D321">
    <cfRule type="containsText" dxfId="13" priority="2" operator="containsText" text="m2">
      <formula>NOT(ISERROR(SEARCH("m2",D321)))</formula>
    </cfRule>
  </conditionalFormatting>
  <conditionalFormatting sqref="D325">
    <cfRule type="containsText" dxfId="12" priority="1" operator="containsText" text="m2">
      <formula>NOT(ISERROR(SEARCH("m2",D325)))</formula>
    </cfRule>
  </conditionalFormatting>
  <conditionalFormatting sqref="D417:D419 D422:D423 D439 D451 D479:D480">
    <cfRule type="containsText" dxfId="11" priority="431" operator="containsText" text="m2">
      <formula>NOT(ISERROR(SEARCH("m2",D417)))</formula>
    </cfRule>
  </conditionalFormatting>
  <conditionalFormatting sqref="D444">
    <cfRule type="containsText" dxfId="10" priority="369" operator="containsText" text="m2">
      <formula>NOT(ISERROR(SEARCH("m2",D444)))</formula>
    </cfRule>
  </conditionalFormatting>
  <conditionalFormatting sqref="D449">
    <cfRule type="containsText" dxfId="9" priority="372" operator="containsText" text="m2">
      <formula>NOT(ISERROR(SEARCH("m2",D449)))</formula>
    </cfRule>
  </conditionalFormatting>
  <conditionalFormatting sqref="D483:D490">
    <cfRule type="containsText" dxfId="8" priority="63" operator="containsText" text="m2">
      <formula>NOT(ISERROR(SEARCH("m2",D483)))</formula>
    </cfRule>
  </conditionalFormatting>
  <conditionalFormatting sqref="D494:D501">
    <cfRule type="containsText" dxfId="7" priority="40" operator="containsText" text="m2">
      <formula>NOT(ISERROR(SEARCH("m2",D494)))</formula>
    </cfRule>
  </conditionalFormatting>
  <conditionalFormatting sqref="D505:D512">
    <cfRule type="containsText" dxfId="6" priority="36" operator="containsText" text="m2">
      <formula>NOT(ISERROR(SEARCH("m2",D505)))</formula>
    </cfRule>
  </conditionalFormatting>
  <conditionalFormatting sqref="D554:D561">
    <cfRule type="containsText" dxfId="5" priority="32" operator="containsText" text="m2">
      <formula>NOT(ISERROR(SEARCH("m2",D554)))</formula>
    </cfRule>
  </conditionalFormatting>
  <conditionalFormatting sqref="D565:D566">
    <cfRule type="containsText" dxfId="4" priority="26" operator="containsText" text="m2">
      <formula>NOT(ISERROR(SEARCH("m2",D565)))</formula>
    </cfRule>
  </conditionalFormatting>
  <conditionalFormatting sqref="D569:D570">
    <cfRule type="containsText" dxfId="3" priority="25" operator="containsText" text="m2">
      <formula>NOT(ISERROR(SEARCH("m2",D569)))</formula>
    </cfRule>
  </conditionalFormatting>
  <conditionalFormatting sqref="D572:D576">
    <cfRule type="containsText" dxfId="2" priority="29" operator="containsText" text="m2">
      <formula>NOT(ISERROR(SEARCH("m2",D572)))</formula>
    </cfRule>
  </conditionalFormatting>
  <conditionalFormatting sqref="D580:D581">
    <cfRule type="containsText" dxfId="1" priority="46" operator="containsText" text="m2">
      <formula>NOT(ISERROR(SEARCH("m2",D580)))</formula>
    </cfRule>
  </conditionalFormatting>
  <conditionalFormatting sqref="D593">
    <cfRule type="containsText" dxfId="0" priority="44" operator="containsText" text="m2">
      <formula>NOT(ISERROR(SEARCH("m2",D593)))</formula>
    </cfRule>
  </conditionalFormatting>
  <pageMargins left="0.51181102362204722" right="0.51181102362204722" top="0.78740157480314965" bottom="0.78740157480314965" header="0.31496062992125984" footer="0.31496062992125984"/>
  <pageSetup paperSize="9" scale="4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1"/>
  <sheetViews>
    <sheetView showGridLines="0" view="pageBreakPreview" topLeftCell="C188" zoomScale="70" zoomScaleNormal="70" zoomScaleSheetLayoutView="70" zoomScalePageLayoutView="60" workbookViewId="0">
      <selection activeCell="G219" sqref="G219"/>
    </sheetView>
  </sheetViews>
  <sheetFormatPr defaultColWidth="9.140625" defaultRowHeight="14.25"/>
  <cols>
    <col min="1" max="1" width="9.140625" style="10" customWidth="1"/>
    <col min="2" max="2" width="6.7109375" style="5" bestFit="1" customWidth="1"/>
    <col min="3" max="3" width="11.140625" style="5" customWidth="1"/>
    <col min="4" max="4" width="20.7109375" style="41" bestFit="1" customWidth="1"/>
    <col min="5" max="5" width="143" style="7" customWidth="1"/>
    <col min="6" max="6" width="7.28515625" style="4" bestFit="1" customWidth="1"/>
    <col min="7" max="7" width="16.140625" style="4" bestFit="1" customWidth="1"/>
    <col min="8" max="8" width="14.140625" style="45" bestFit="1" customWidth="1"/>
    <col min="9" max="9" width="22.28515625" style="45" bestFit="1" customWidth="1"/>
    <col min="10" max="10" width="24.42578125" style="8" customWidth="1"/>
    <col min="11" max="11" width="12" style="5" customWidth="1"/>
    <col min="12" max="12" width="7.85546875" style="10" bestFit="1" customWidth="1"/>
    <col min="13" max="16384" width="9.140625" style="10"/>
  </cols>
  <sheetData>
    <row r="1" spans="2:11" ht="15.6" customHeight="1">
      <c r="B1" s="297"/>
      <c r="C1" s="385"/>
      <c r="D1" s="385"/>
      <c r="E1" s="677" t="s">
        <v>0</v>
      </c>
      <c r="F1" s="677"/>
      <c r="G1" s="677"/>
      <c r="H1" s="677"/>
      <c r="I1" s="677"/>
      <c r="J1" s="678"/>
      <c r="K1" s="672"/>
    </row>
    <row r="2" spans="2:11" ht="15.6" customHeight="1">
      <c r="B2" s="302"/>
      <c r="C2" s="303"/>
      <c r="D2" s="303"/>
      <c r="E2" s="607" t="s">
        <v>1</v>
      </c>
      <c r="F2" s="607"/>
      <c r="G2" s="607"/>
      <c r="H2" s="607"/>
      <c r="I2" s="607"/>
      <c r="J2" s="608"/>
      <c r="K2" s="672"/>
    </row>
    <row r="3" spans="2:11" ht="15.6" customHeight="1">
      <c r="B3" s="294"/>
      <c r="C3" s="295"/>
      <c r="E3" s="607" t="s">
        <v>2</v>
      </c>
      <c r="F3" s="607"/>
      <c r="G3" s="607"/>
      <c r="H3" s="607"/>
      <c r="I3" s="607"/>
      <c r="J3" s="608"/>
      <c r="K3" s="672"/>
    </row>
    <row r="4" spans="2:11" ht="15.6" customHeight="1">
      <c r="B4" s="302"/>
      <c r="C4" s="303"/>
      <c r="D4" s="303"/>
      <c r="E4" s="607" t="s">
        <v>3</v>
      </c>
      <c r="F4" s="607"/>
      <c r="G4" s="607"/>
      <c r="H4" s="607"/>
      <c r="I4" s="607"/>
      <c r="J4" s="608"/>
      <c r="K4" s="672"/>
    </row>
    <row r="5" spans="2:11" ht="13.9" customHeight="1">
      <c r="B5" s="302"/>
      <c r="C5" s="303"/>
      <c r="D5" s="303"/>
      <c r="E5" s="607" t="s">
        <v>536</v>
      </c>
      <c r="F5" s="607"/>
      <c r="G5" s="607"/>
      <c r="H5" s="607"/>
      <c r="I5" s="607"/>
      <c r="J5" s="608"/>
      <c r="K5" s="672"/>
    </row>
    <row r="6" spans="2:11" ht="18.75" thickBot="1">
      <c r="B6" s="293"/>
      <c r="C6" s="305"/>
      <c r="D6" s="305"/>
      <c r="E6" s="615" t="s">
        <v>537</v>
      </c>
      <c r="F6" s="615"/>
      <c r="G6" s="615"/>
      <c r="H6" s="615"/>
      <c r="I6" s="615"/>
      <c r="J6" s="616"/>
    </row>
    <row r="7" spans="2:11" ht="16.5" thickBot="1">
      <c r="B7" s="243" t="s">
        <v>7</v>
      </c>
      <c r="C7" s="244" t="s">
        <v>538</v>
      </c>
      <c r="D7" s="243" t="s">
        <v>539</v>
      </c>
      <c r="E7" s="245" t="s">
        <v>540</v>
      </c>
      <c r="F7" s="246" t="s">
        <v>9</v>
      </c>
      <c r="G7" s="246" t="s">
        <v>541</v>
      </c>
      <c r="H7" s="247" t="s">
        <v>542</v>
      </c>
      <c r="I7" s="248" t="s">
        <v>543</v>
      </c>
      <c r="J7" s="249" t="s">
        <v>13</v>
      </c>
    </row>
    <row r="8" spans="2:11" s="54" customFormat="1" ht="15.75">
      <c r="B8" s="641" t="s">
        <v>10</v>
      </c>
      <c r="C8" s="642"/>
      <c r="D8" s="642"/>
      <c r="E8" s="642"/>
      <c r="F8" s="642"/>
      <c r="G8" s="642"/>
      <c r="H8" s="642"/>
      <c r="I8" s="642"/>
      <c r="J8" s="67">
        <f>SUM(J10:J12)</f>
        <v>0</v>
      </c>
      <c r="K8" s="530" t="e">
        <f>(J8*100%)/$J$218</f>
        <v>#DIV/0!</v>
      </c>
    </row>
    <row r="9" spans="2:11" ht="15">
      <c r="B9" s="22">
        <v>1</v>
      </c>
      <c r="C9" s="676" t="s">
        <v>12</v>
      </c>
      <c r="D9" s="662"/>
      <c r="E9" s="662"/>
      <c r="F9" s="662"/>
      <c r="G9" s="662"/>
      <c r="H9" s="662"/>
      <c r="I9" s="662"/>
      <c r="J9" s="663"/>
      <c r="K9" s="367" t="e">
        <f t="shared" ref="K9:K48" si="0">(J9*100%)/$J$218</f>
        <v>#DIV/0!</v>
      </c>
    </row>
    <row r="10" spans="2:11" ht="15">
      <c r="B10" s="155" t="s">
        <v>14</v>
      </c>
      <c r="C10" s="156" t="s">
        <v>544</v>
      </c>
      <c r="D10" s="341" t="str">
        <f>VLOOKUP(B10,'MEMÓRIA DE CÁLCULO'!$B:$H,2,)</f>
        <v xml:space="preserve"> 98524</v>
      </c>
      <c r="E10" s="225" t="str">
        <f>VLOOKUP(B10,'MEMÓRIA DE CÁLCULO'!$B:$H,3,)</f>
        <v>LIMPEZA MANUAL DE VEGETAÇÃO EM TERRENO COM ENXADA.</v>
      </c>
      <c r="F10" s="158" t="s">
        <v>17</v>
      </c>
      <c r="G10" s="182">
        <f>VLOOKUP(B10,'MEMÓRIA DE CÁLCULO'!$B:$H,7,)</f>
        <v>102.2</v>
      </c>
      <c r="H10" s="70"/>
      <c r="I10" s="183"/>
      <c r="J10" s="184">
        <f>(I10+H10)*G10</f>
        <v>0</v>
      </c>
      <c r="K10" s="367" t="e">
        <f t="shared" si="0"/>
        <v>#DIV/0!</v>
      </c>
    </row>
    <row r="11" spans="2:11" ht="15">
      <c r="B11" s="86" t="s">
        <v>21</v>
      </c>
      <c r="C11" s="68" t="s">
        <v>545</v>
      </c>
      <c r="D11" s="341">
        <f>VLOOKUP(B11,'MEMÓRIA DE CÁLCULO'!$B:$H,2,)</f>
        <v>20121</v>
      </c>
      <c r="E11" s="225" t="str">
        <f>VLOOKUP(B11,'MEMÓRIA DE CÁLCULO'!$B:$H,3,)</f>
        <v>DEMOLIÇÃO MANUAL EM CONCRETO SIMPLES C/TR.ATÉ CB.E CARGA (O.C)</v>
      </c>
      <c r="F11" s="69" t="s">
        <v>17</v>
      </c>
      <c r="G11" s="72">
        <f>VLOOKUP(B11,'MEMÓRIA DE CÁLCULO'!$B:$H,7,)</f>
        <v>0.16408</v>
      </c>
      <c r="H11" s="70"/>
      <c r="I11" s="70"/>
      <c r="J11" s="87">
        <f>(I11+H11)*G11</f>
        <v>0</v>
      </c>
      <c r="K11" s="367" t="e">
        <f t="shared" si="0"/>
        <v>#DIV/0!</v>
      </c>
    </row>
    <row r="12" spans="2:11" ht="15">
      <c r="B12" s="86" t="s">
        <v>24</v>
      </c>
      <c r="C12" s="68" t="s">
        <v>545</v>
      </c>
      <c r="D12" s="342">
        <f>VLOOKUP(B12,'MEMÓRIA DE CÁLCULO'!$B:$H,2,)</f>
        <v>21301</v>
      </c>
      <c r="E12" s="225" t="str">
        <f>VLOOKUP(B12,'MEMÓRIA DE CÁLCULO'!$B:$H,3,)</f>
        <v>PLACA DE OBRA PLOTADA EM CHAPA METÁLICA 26 , AFIXADA EM CAVALETES DE MADEIRA DE LEI (VIGOTAS 6X12CM) - PADRÃO GOINFRA</v>
      </c>
      <c r="F12" s="69" t="s">
        <v>17</v>
      </c>
      <c r="G12" s="72">
        <f>VLOOKUP(B12,'MEMÓRIA DE CÁLCULO'!$B:$H,7,)</f>
        <v>3</v>
      </c>
      <c r="H12" s="70"/>
      <c r="I12" s="70"/>
      <c r="J12" s="87">
        <f>(I12+H12)*G12</f>
        <v>0</v>
      </c>
      <c r="K12" s="367" t="e">
        <f t="shared" si="0"/>
        <v>#DIV/0!</v>
      </c>
    </row>
    <row r="13" spans="2:11" ht="15">
      <c r="B13" s="26"/>
      <c r="D13" s="230"/>
      <c r="E13" s="231"/>
      <c r="G13" s="232"/>
      <c r="H13" s="137"/>
      <c r="I13" s="137"/>
      <c r="J13" s="138"/>
      <c r="K13" s="367" t="e">
        <f t="shared" si="0"/>
        <v>#DIV/0!</v>
      </c>
    </row>
    <row r="14" spans="2:11" ht="15.75">
      <c r="B14" s="667" t="s">
        <v>546</v>
      </c>
      <c r="C14" s="668"/>
      <c r="D14" s="668"/>
      <c r="E14" s="668"/>
      <c r="F14" s="668"/>
      <c r="G14" s="668"/>
      <c r="H14" s="668"/>
      <c r="I14" s="669"/>
      <c r="J14" s="48">
        <f>SUM(J16)</f>
        <v>0</v>
      </c>
      <c r="K14" s="530" t="e">
        <f t="shared" si="0"/>
        <v>#DIV/0!</v>
      </c>
    </row>
    <row r="15" spans="2:11" ht="15">
      <c r="B15" s="22">
        <v>2</v>
      </c>
      <c r="C15" s="670" t="s">
        <v>29</v>
      </c>
      <c r="D15" s="670"/>
      <c r="E15" s="670"/>
      <c r="F15" s="670"/>
      <c r="G15" s="670"/>
      <c r="H15" s="670"/>
      <c r="I15" s="670"/>
      <c r="J15" s="671"/>
      <c r="K15" s="367" t="e">
        <f t="shared" si="0"/>
        <v>#DIV/0!</v>
      </c>
    </row>
    <row r="16" spans="2:11" ht="15">
      <c r="B16" s="155" t="s">
        <v>30</v>
      </c>
      <c r="C16" s="156" t="s">
        <v>545</v>
      </c>
      <c r="D16" s="156">
        <f>VLOOKUP($B$16,'MEMÓRIA DE CÁLCULO'!$B:$H,2,)</f>
        <v>30104</v>
      </c>
      <c r="E16" s="185" t="str">
        <f>VLOOKUP($B$16,'MEMÓRIA DE CÁLCULO'!$B:$H,3,)</f>
        <v>TRANSPORTE DE ENTULHO CAÇAMBA ESTACIONÁRIA SEM CARGA (EMPOLAMENTO 30%)</v>
      </c>
      <c r="F16" s="158" t="s">
        <v>32</v>
      </c>
      <c r="G16" s="182">
        <f>VLOOKUP(B16,'MEMÓRIA DE CÁLCULO'!B:H,7,)</f>
        <v>1.3307330399999999</v>
      </c>
      <c r="H16" s="186"/>
      <c r="I16" s="186"/>
      <c r="J16" s="187">
        <f>(I16+H16)*G16</f>
        <v>0</v>
      </c>
      <c r="K16" s="367" t="e">
        <f t="shared" si="0"/>
        <v>#DIV/0!</v>
      </c>
    </row>
    <row r="17" spans="2:11" ht="15">
      <c r="B17" s="673"/>
      <c r="C17" s="674"/>
      <c r="D17" s="674"/>
      <c r="E17" s="674"/>
      <c r="F17" s="674"/>
      <c r="G17" s="674"/>
      <c r="H17" s="674"/>
      <c r="I17" s="674"/>
      <c r="J17" s="675"/>
      <c r="K17" s="367" t="e">
        <f t="shared" si="0"/>
        <v>#DIV/0!</v>
      </c>
    </row>
    <row r="18" spans="2:11" ht="15.75">
      <c r="B18" s="667" t="s">
        <v>547</v>
      </c>
      <c r="C18" s="668"/>
      <c r="D18" s="668"/>
      <c r="E18" s="668"/>
      <c r="F18" s="668"/>
      <c r="G18" s="668"/>
      <c r="H18" s="668"/>
      <c r="I18" s="669"/>
      <c r="J18" s="48">
        <f>SUM(J20:J21)</f>
        <v>0</v>
      </c>
      <c r="K18" s="530" t="e">
        <f t="shared" si="0"/>
        <v>#DIV/0!</v>
      </c>
    </row>
    <row r="19" spans="2:11" ht="15">
      <c r="B19" s="22">
        <v>3</v>
      </c>
      <c r="C19" s="670" t="s">
        <v>38</v>
      </c>
      <c r="D19" s="670"/>
      <c r="E19" s="670"/>
      <c r="F19" s="670"/>
      <c r="G19" s="670"/>
      <c r="H19" s="670"/>
      <c r="I19" s="670"/>
      <c r="J19" s="671"/>
      <c r="K19" s="367" t="e">
        <f t="shared" si="0"/>
        <v>#DIV/0!</v>
      </c>
    </row>
    <row r="20" spans="2:11" ht="15">
      <c r="B20" s="155" t="s">
        <v>39</v>
      </c>
      <c r="C20" s="156" t="s">
        <v>545</v>
      </c>
      <c r="D20" s="156">
        <f>VLOOKUP(B20,'MEMÓRIA DE CÁLCULO'!B:H,2,)</f>
        <v>40103</v>
      </c>
      <c r="E20" s="157" t="str">
        <f>VLOOKUP(B20,'MEMÓRIA DE CÁLCULO'!B:H,3,)</f>
        <v>ESCAVAÇÃO MANUAL DE VALAS PROF.1 A 2 M</v>
      </c>
      <c r="F20" s="158" t="s">
        <v>32</v>
      </c>
      <c r="G20" s="182">
        <f>VLOOKUP(B20,'MEMÓRIA DE CÁLCULO'!B:H,7,)</f>
        <v>6.0288000000000004</v>
      </c>
      <c r="H20" s="186"/>
      <c r="I20" s="186"/>
      <c r="J20" s="187">
        <f>(I20+H20)*G20</f>
        <v>0</v>
      </c>
      <c r="K20" s="367" t="e">
        <f t="shared" si="0"/>
        <v>#DIV/0!</v>
      </c>
    </row>
    <row r="21" spans="2:11" ht="15">
      <c r="B21" s="86" t="s">
        <v>44</v>
      </c>
      <c r="C21" s="68" t="s">
        <v>545</v>
      </c>
      <c r="D21" s="68">
        <f>VLOOKUP(B21,'MEMÓRIA DE CÁLCULO'!B:H,2,)</f>
        <v>41002</v>
      </c>
      <c r="E21" s="71" t="str">
        <f>VLOOKUP(B21,'MEMÓRIA DE CÁLCULO'!B:H,3,)</f>
        <v xml:space="preserve">APILOAMENTO </v>
      </c>
      <c r="F21" s="69" t="s">
        <v>32</v>
      </c>
      <c r="G21" s="72">
        <f>VLOOKUP(B21,'MEMÓRIA DE CÁLCULO'!B:H,7,)</f>
        <v>1.5072000000000001</v>
      </c>
      <c r="H21" s="73"/>
      <c r="I21" s="73"/>
      <c r="J21" s="88">
        <f>(I21+H21)*G21</f>
        <v>0</v>
      </c>
      <c r="K21" s="367" t="e">
        <f t="shared" si="0"/>
        <v>#DIV/0!</v>
      </c>
    </row>
    <row r="22" spans="2:11" ht="15">
      <c r="B22" s="673"/>
      <c r="C22" s="674"/>
      <c r="D22" s="674"/>
      <c r="E22" s="674"/>
      <c r="F22" s="674"/>
      <c r="G22" s="674"/>
      <c r="H22" s="674"/>
      <c r="I22" s="674"/>
      <c r="J22" s="675"/>
      <c r="K22" s="367" t="e">
        <f t="shared" si="0"/>
        <v>#DIV/0!</v>
      </c>
    </row>
    <row r="23" spans="2:11" ht="15.75">
      <c r="B23" s="667" t="s">
        <v>548</v>
      </c>
      <c r="C23" s="668"/>
      <c r="D23" s="668"/>
      <c r="E23" s="668"/>
      <c r="F23" s="668"/>
      <c r="G23" s="668"/>
      <c r="H23" s="668"/>
      <c r="I23" s="669"/>
      <c r="J23" s="48">
        <f>SUM(J25:J33)</f>
        <v>0</v>
      </c>
      <c r="K23" s="530" t="e">
        <f t="shared" si="0"/>
        <v>#DIV/0!</v>
      </c>
    </row>
    <row r="24" spans="2:11" ht="15">
      <c r="B24" s="22">
        <v>4</v>
      </c>
      <c r="C24" s="662" t="s">
        <v>48</v>
      </c>
      <c r="D24" s="662"/>
      <c r="E24" s="662"/>
      <c r="F24" s="662"/>
      <c r="G24" s="662"/>
      <c r="H24" s="662"/>
      <c r="I24" s="662"/>
      <c r="J24" s="663"/>
      <c r="K24" s="367" t="e">
        <f t="shared" si="0"/>
        <v>#DIV/0!</v>
      </c>
    </row>
    <row r="25" spans="2:11" ht="15">
      <c r="B25" s="155" t="s">
        <v>51</v>
      </c>
      <c r="C25" s="156" t="s">
        <v>545</v>
      </c>
      <c r="D25" s="226">
        <f>VLOOKUP(B25,'MEMÓRIA DE CÁLCULO'!B:H,2,)</f>
        <v>50302</v>
      </c>
      <c r="E25" s="157" t="str">
        <f>VLOOKUP(B25,'MEMÓRIA DE CÁLCULO'!$B:$H,3,)</f>
        <v xml:space="preserve">ESTACA A TRADO DIAM.30 CM SEM FERRO  </v>
      </c>
      <c r="F25" s="158" t="s">
        <v>32</v>
      </c>
      <c r="G25" s="182">
        <f>VLOOKUP(B25,'MEMÓRIA DE CÁLCULO'!$B:$H,7,)</f>
        <v>3.3912000000000004</v>
      </c>
      <c r="H25" s="186"/>
      <c r="I25" s="186"/>
      <c r="J25" s="187">
        <f t="shared" ref="J25:J33" si="1">(I25+H25)*G25</f>
        <v>0</v>
      </c>
      <c r="K25" s="367" t="e">
        <f t="shared" si="0"/>
        <v>#DIV/0!</v>
      </c>
    </row>
    <row r="26" spans="2:11" ht="15">
      <c r="B26" s="86" t="s">
        <v>53</v>
      </c>
      <c r="C26" s="68" t="s">
        <v>545</v>
      </c>
      <c r="D26" s="227">
        <f>VLOOKUP(B26,'MEMÓRIA DE CÁLCULO'!B:H,2,)</f>
        <v>51024</v>
      </c>
      <c r="E26" s="71" t="str">
        <f>VLOOKUP(B26,'MEMÓRIA DE CÁLCULO'!$B:$H,3,)</f>
        <v xml:space="preserve">PREPARO COM BETONEIRA E TRANSPORTE MANUAL DE CONCRETO PARA LASTRO - (O.C.)  </v>
      </c>
      <c r="F26" s="69" t="s">
        <v>32</v>
      </c>
      <c r="G26" s="182">
        <f>VLOOKUP(B26,'MEMÓRIA DE CÁLCULO'!$B:$H,7,)</f>
        <v>4.2390000000000011E-2</v>
      </c>
      <c r="H26" s="186"/>
      <c r="I26" s="186"/>
      <c r="J26" s="88">
        <f t="shared" si="1"/>
        <v>0</v>
      </c>
      <c r="K26" s="367" t="e">
        <f t="shared" si="0"/>
        <v>#DIV/0!</v>
      </c>
    </row>
    <row r="27" spans="2:11" ht="15">
      <c r="B27" s="86" t="s">
        <v>56</v>
      </c>
      <c r="C27" s="68" t="s">
        <v>545</v>
      </c>
      <c r="D27" s="227">
        <f>VLOOKUP(B27,'MEMÓRIA DE CÁLCULO'!B:H,2,)</f>
        <v>52004</v>
      </c>
      <c r="E27" s="71" t="str">
        <f>VLOOKUP(B27,'MEMÓRIA DE CÁLCULO'!$B:$H,3,)</f>
        <v>AÇO CA - 50A - 10,0 MM (3/8") - (OBRAS CIVIS)</v>
      </c>
      <c r="F27" s="69" t="s">
        <v>103</v>
      </c>
      <c r="G27" s="182">
        <f>VLOOKUP(B27,'MEMÓRIA DE CÁLCULO'!$B:$H,7,)</f>
        <v>258.04799999999994</v>
      </c>
      <c r="H27" s="186"/>
      <c r="I27" s="186"/>
      <c r="J27" s="88">
        <f t="shared" si="1"/>
        <v>0</v>
      </c>
      <c r="K27" s="367" t="e">
        <f t="shared" si="0"/>
        <v>#DIV/0!</v>
      </c>
    </row>
    <row r="28" spans="2:11" ht="15">
      <c r="B28" s="86" t="s">
        <v>60</v>
      </c>
      <c r="C28" s="68" t="s">
        <v>545</v>
      </c>
      <c r="D28" s="227">
        <f>VLOOKUP(B28,'MEMÓRIA DE CÁLCULO'!B:H,2,)</f>
        <v>52014</v>
      </c>
      <c r="E28" s="71" t="str">
        <f>VLOOKUP(B28,'MEMÓRIA DE CÁLCULO'!$B:$H,3,)</f>
        <v>AÇO CA - 50A - 6,3 MM  (1/4")- (OBRAS CIVIS)</v>
      </c>
      <c r="F28" s="69" t="s">
        <v>103</v>
      </c>
      <c r="G28" s="182">
        <f>VLOOKUP(B28,'MEMÓRIA DE CÁLCULO'!$B:$H,7,)</f>
        <v>69.72</v>
      </c>
      <c r="H28" s="186"/>
      <c r="I28" s="186"/>
      <c r="J28" s="88">
        <f t="shared" si="1"/>
        <v>0</v>
      </c>
      <c r="K28" s="367" t="e">
        <f t="shared" si="0"/>
        <v>#DIV/0!</v>
      </c>
    </row>
    <row r="29" spans="2:11" ht="15">
      <c r="B29" s="86" t="s">
        <v>62</v>
      </c>
      <c r="C29" s="68" t="s">
        <v>545</v>
      </c>
      <c r="D29" s="227">
        <f>VLOOKUP(B29,'MEMÓRIA DE CÁLCULO'!B:H,2,)</f>
        <v>51032</v>
      </c>
      <c r="E29" s="71" t="str">
        <f>VLOOKUP(B29,'MEMÓRIA DE CÁLCULO'!$B:$H,3,)</f>
        <v xml:space="preserve">CONCRETO USINADO CONVENCIONAL FCK=25 MPA COM TRANSPORTE MANUAL (O.C.) (ESTACAS)  </v>
      </c>
      <c r="F29" s="69" t="s">
        <v>32</v>
      </c>
      <c r="G29" s="182">
        <f>VLOOKUP(B29,'MEMÓRIA DE CÁLCULO'!$B:$H,7,)</f>
        <v>3.3912000000000004</v>
      </c>
      <c r="H29" s="186"/>
      <c r="I29" s="186"/>
      <c r="J29" s="88">
        <f t="shared" si="1"/>
        <v>0</v>
      </c>
      <c r="K29" s="367" t="e">
        <f t="shared" si="0"/>
        <v>#DIV/0!</v>
      </c>
    </row>
    <row r="30" spans="2:11" ht="15">
      <c r="B30" s="86" t="s">
        <v>65</v>
      </c>
      <c r="C30" s="68" t="s">
        <v>545</v>
      </c>
      <c r="D30" s="227">
        <f>VLOOKUP(B30,'MEMÓRIA DE CÁLCULO'!B:H,2,)</f>
        <v>50901</v>
      </c>
      <c r="E30" s="71" t="str">
        <f>VLOOKUP(B30,'MEMÓRIA DE CÁLCULO'!$B:$H,3,)</f>
        <v xml:space="preserve">ESCAVAÇÃO MANUAL DE VALAS (SAPATAS/BLOCOS)  </v>
      </c>
      <c r="F30" s="69" t="s">
        <v>32</v>
      </c>
      <c r="G30" s="182">
        <f>VLOOKUP(B30,'MEMÓRIA DE CÁLCULO'!$B:$H,7,)</f>
        <v>2.3759999999999999</v>
      </c>
      <c r="H30" s="186"/>
      <c r="I30" s="186"/>
      <c r="J30" s="88">
        <f t="shared" si="1"/>
        <v>0</v>
      </c>
      <c r="K30" s="367" t="e">
        <f t="shared" si="0"/>
        <v>#DIV/0!</v>
      </c>
    </row>
    <row r="31" spans="2:11" ht="15">
      <c r="B31" s="86" t="s">
        <v>68</v>
      </c>
      <c r="C31" s="68" t="s">
        <v>545</v>
      </c>
      <c r="D31" s="227">
        <f>VLOOKUP(B31,'MEMÓRIA DE CÁLCULO'!B:H,2,)</f>
        <v>51009</v>
      </c>
      <c r="E31" s="71" t="str">
        <f>VLOOKUP(B31,'MEMÓRIA DE CÁLCULO'!$B:$H,3,)</f>
        <v xml:space="preserve">FORMA TÁBUA PINHO P/FUNDAÇÕES U=3V - (OBRAS CIVIS)  </v>
      </c>
      <c r="F31" s="69" t="s">
        <v>32</v>
      </c>
      <c r="G31" s="182">
        <f>VLOOKUP(B31,'MEMÓRIA DE CÁLCULO'!$B:$H,7,)</f>
        <v>3.96</v>
      </c>
      <c r="H31" s="186"/>
      <c r="I31" s="186"/>
      <c r="J31" s="88">
        <f t="shared" si="1"/>
        <v>0</v>
      </c>
      <c r="K31" s="367" t="e">
        <f t="shared" si="0"/>
        <v>#DIV/0!</v>
      </c>
    </row>
    <row r="32" spans="2:11" ht="15">
      <c r="B32" s="86" t="s">
        <v>70</v>
      </c>
      <c r="C32" s="68" t="s">
        <v>545</v>
      </c>
      <c r="D32" s="227">
        <f>VLOOKUP(B32,'MEMÓRIA DE CÁLCULO'!B:H,2,)</f>
        <v>52014</v>
      </c>
      <c r="E32" s="71" t="str">
        <f>VLOOKUP(B32,'MEMÓRIA DE CÁLCULO'!$B:$H,3,)</f>
        <v>AÇO CA 60 - 5,0 MM  (OBRAS CIVIS)</v>
      </c>
      <c r="F32" s="69" t="s">
        <v>32</v>
      </c>
      <c r="G32" s="182">
        <f>VLOOKUP(B32,'MEMÓRIA DE CÁLCULO'!$B:$H,7,)</f>
        <v>39.441600000000001</v>
      </c>
      <c r="H32" s="186"/>
      <c r="I32" s="186"/>
      <c r="J32" s="88">
        <f t="shared" si="1"/>
        <v>0</v>
      </c>
      <c r="K32" s="367" t="e">
        <f t="shared" si="0"/>
        <v>#DIV/0!</v>
      </c>
    </row>
    <row r="33" spans="2:11" ht="15">
      <c r="B33" s="86" t="s">
        <v>72</v>
      </c>
      <c r="C33" s="68" t="s">
        <v>545</v>
      </c>
      <c r="D33" s="227">
        <f>VLOOKUP(B33,'MEMÓRIA DE CÁLCULO'!B:H,2,)</f>
        <v>51032</v>
      </c>
      <c r="E33" s="71" t="str">
        <f>VLOOKUP(B33,'MEMÓRIA DE CÁLCULO'!$B:$H,3,)</f>
        <v>CONCRETO USINADO CONVENCIONAL FCK=25 MPA COM TRANSPORTE MANUAL (O.C.) (BLOCOS)</v>
      </c>
      <c r="F33" s="69" t="s">
        <v>32</v>
      </c>
      <c r="G33" s="182">
        <f>VLOOKUP(B33,'MEMÓRIA DE CÁLCULO'!$B:$H,7,)</f>
        <v>2.3759999999999999</v>
      </c>
      <c r="H33" s="186"/>
      <c r="I33" s="186"/>
      <c r="J33" s="88">
        <f t="shared" si="1"/>
        <v>0</v>
      </c>
      <c r="K33" s="367" t="e">
        <f t="shared" si="0"/>
        <v>#DIV/0!</v>
      </c>
    </row>
    <row r="34" spans="2:11" ht="15">
      <c r="B34" s="171"/>
      <c r="C34" s="172"/>
      <c r="D34" s="233"/>
      <c r="E34" s="113"/>
      <c r="G34" s="232"/>
      <c r="H34" s="115"/>
      <c r="I34" s="115"/>
      <c r="J34" s="122"/>
      <c r="K34" s="367" t="e">
        <f t="shared" si="0"/>
        <v>#DIV/0!</v>
      </c>
    </row>
    <row r="35" spans="2:11" ht="15.75">
      <c r="B35" s="667" t="s">
        <v>549</v>
      </c>
      <c r="C35" s="668"/>
      <c r="D35" s="668"/>
      <c r="E35" s="668"/>
      <c r="F35" s="668"/>
      <c r="G35" s="668"/>
      <c r="H35" s="668"/>
      <c r="I35" s="669"/>
      <c r="J35" s="48">
        <f>SUM(J37:J48)</f>
        <v>0</v>
      </c>
      <c r="K35" s="530" t="e">
        <f>(J35*100%)/$J$218</f>
        <v>#DIV/0!</v>
      </c>
    </row>
    <row r="36" spans="2:11" ht="15">
      <c r="B36" s="22">
        <v>5</v>
      </c>
      <c r="C36" s="662" t="s">
        <v>550</v>
      </c>
      <c r="D36" s="662"/>
      <c r="E36" s="662"/>
      <c r="F36" s="662"/>
      <c r="G36" s="662"/>
      <c r="H36" s="662"/>
      <c r="I36" s="662"/>
      <c r="J36" s="663"/>
      <c r="K36" s="367" t="e">
        <f t="shared" si="0"/>
        <v>#DIV/0!</v>
      </c>
    </row>
    <row r="37" spans="2:11" ht="15.75">
      <c r="B37" s="155" t="s">
        <v>77</v>
      </c>
      <c r="C37" s="156" t="s">
        <v>545</v>
      </c>
      <c r="D37" s="156">
        <f>VLOOKUP(B37,'MEMÓRIA DE CÁLCULO'!$B:$H,2,)</f>
        <v>60191</v>
      </c>
      <c r="E37" s="71" t="str">
        <f>VLOOKUP(B37,'MEMÓRIA DE CÁLCULO'!$B:$H,3,)</f>
        <v>FORMA DE TÁBUA CINTA BALDRAME U=8 VEZES</v>
      </c>
      <c r="F37" s="158" t="s">
        <v>17</v>
      </c>
      <c r="G37" s="188">
        <f>VLOOKUP(B37,'MEMÓRIA DE CÁLCULO'!B:H,7,)</f>
        <v>38.015000000000001</v>
      </c>
      <c r="H37" s="95"/>
      <c r="I37" s="95"/>
      <c r="J37" s="187">
        <f>(H37+I37)*G37</f>
        <v>0</v>
      </c>
      <c r="K37" s="530" t="e">
        <f t="shared" si="0"/>
        <v>#DIV/0!</v>
      </c>
    </row>
    <row r="38" spans="2:11" ht="15">
      <c r="B38" s="86" t="s">
        <v>101</v>
      </c>
      <c r="C38" s="68" t="s">
        <v>545</v>
      </c>
      <c r="D38" s="68">
        <f>VLOOKUP(B38,'MEMÓRIA DE CÁLCULO'!$B:$H,2,)</f>
        <v>60305</v>
      </c>
      <c r="E38" s="71" t="str">
        <f>VLOOKUP(B38,'MEMÓRIA DE CÁLCULO'!$B:$H,3,)</f>
        <v>AÇO CA - 50A - 8,0 MM (5/16") - (OBRAS CIVIS)</v>
      </c>
      <c r="F38" s="69" t="s">
        <v>103</v>
      </c>
      <c r="G38" s="76">
        <f>VLOOKUP(B38,'MEMÓRIA DE CÁLCULO'!B:H,7,)</f>
        <v>201.36</v>
      </c>
      <c r="H38" s="95"/>
      <c r="I38" s="95"/>
      <c r="J38" s="88">
        <f t="shared" ref="J38:J43" si="2">(H38+I38)*G38</f>
        <v>0</v>
      </c>
      <c r="K38" s="367" t="e">
        <f t="shared" si="0"/>
        <v>#DIV/0!</v>
      </c>
    </row>
    <row r="39" spans="2:11" ht="15">
      <c r="B39" s="86" t="s">
        <v>106</v>
      </c>
      <c r="C39" s="68" t="s">
        <v>545</v>
      </c>
      <c r="D39" s="68">
        <f>VLOOKUP(B39,'MEMÓRIA DE CÁLCULO'!$B:$H,2,)</f>
        <v>60314</v>
      </c>
      <c r="E39" s="71" t="str">
        <f>VLOOKUP(B39,'MEMÓRIA DE CÁLCULO'!$B:$H,3,)</f>
        <v>AÇO CA - 60 - 5,0 MM - (OBRAS CIVIS)</v>
      </c>
      <c r="F39" s="69" t="s">
        <v>103</v>
      </c>
      <c r="G39" s="76">
        <f>VLOOKUP(B39,'MEMÓRIA DE CÁLCULO'!B:H,7,)</f>
        <v>92.828800000000001</v>
      </c>
      <c r="H39" s="95"/>
      <c r="I39" s="95"/>
      <c r="J39" s="88">
        <f t="shared" si="2"/>
        <v>0</v>
      </c>
      <c r="K39" s="367" t="e">
        <f t="shared" si="0"/>
        <v>#DIV/0!</v>
      </c>
    </row>
    <row r="40" spans="2:11" ht="15">
      <c r="B40" s="86" t="s">
        <v>109</v>
      </c>
      <c r="C40" s="68" t="s">
        <v>545</v>
      </c>
      <c r="D40" s="68" t="str">
        <f>VLOOKUP(B40,'MEMÓRIA DE CÁLCULO'!$B:$H,2,)</f>
        <v>60303</v>
      </c>
      <c r="E40" s="71" t="str">
        <f>VLOOKUP(B40,'MEMÓRIA DE CÁLCULO'!$B:$H,3,)</f>
        <v>AÇO CA - 50A - 6,3 MM  (1/4")- (OBRAS CIVIS)</v>
      </c>
      <c r="F40" s="69" t="s">
        <v>103</v>
      </c>
      <c r="G40" s="76">
        <f>VLOOKUP(B40,'MEMÓRIA DE CÁLCULO'!B:H,7,)</f>
        <v>35.25</v>
      </c>
      <c r="H40" s="95"/>
      <c r="I40" s="95"/>
      <c r="J40" s="88">
        <f t="shared" si="2"/>
        <v>0</v>
      </c>
      <c r="K40" s="367" t="e">
        <f t="shared" si="0"/>
        <v>#DIV/0!</v>
      </c>
    </row>
    <row r="41" spans="2:11" ht="15">
      <c r="B41" s="86" t="s">
        <v>112</v>
      </c>
      <c r="C41" s="68" t="s">
        <v>545</v>
      </c>
      <c r="D41" s="68">
        <f>VLOOKUP(B41,'MEMÓRIA DE CÁLCULO'!$B:$H,2,)</f>
        <v>60305</v>
      </c>
      <c r="E41" s="71" t="str">
        <f>VLOOKUP(B41,'MEMÓRIA DE CÁLCULO'!$B:$H,3,)</f>
        <v>AÇO CA - 50A - 10,0 MM (3/8") - (OBRAS CIVIS)</v>
      </c>
      <c r="F41" s="69" t="s">
        <v>103</v>
      </c>
      <c r="G41" s="76">
        <f>VLOOKUP(B41,'MEMÓRIA DE CÁLCULO'!B:H,7,)</f>
        <v>72.447999999999993</v>
      </c>
      <c r="H41" s="95"/>
      <c r="I41" s="95"/>
      <c r="J41" s="88">
        <f t="shared" si="2"/>
        <v>0</v>
      </c>
      <c r="K41" s="367" t="e">
        <f t="shared" si="0"/>
        <v>#DIV/0!</v>
      </c>
    </row>
    <row r="42" spans="2:11" ht="15">
      <c r="B42" s="86" t="s">
        <v>113</v>
      </c>
      <c r="C42" s="68" t="s">
        <v>545</v>
      </c>
      <c r="D42" s="68" t="str">
        <f>VLOOKUP(B42,'MEMÓRIA DE CÁLCULO'!$B:$H,2,)</f>
        <v>60306</v>
      </c>
      <c r="E42" s="71" t="str">
        <f>VLOOKUP(B42,'MEMÓRIA DE CÁLCULO'!$B:$H,3,)</f>
        <v>AÇO CA-50A - 12,5 MM (1/2") - (OBRAS CIVIS)</v>
      </c>
      <c r="F42" s="69" t="s">
        <v>103</v>
      </c>
      <c r="G42" s="76">
        <f>VLOOKUP(B42,'MEMÓRIA DE CÁLCULO'!B:H,7,)</f>
        <v>71.082000000000008</v>
      </c>
      <c r="H42" s="95"/>
      <c r="I42" s="95"/>
      <c r="J42" s="88">
        <f t="shared" si="2"/>
        <v>0</v>
      </c>
      <c r="K42" s="367" t="e">
        <f t="shared" si="0"/>
        <v>#DIV/0!</v>
      </c>
    </row>
    <row r="43" spans="2:11" ht="15">
      <c r="B43" s="454" t="s">
        <v>116</v>
      </c>
      <c r="C43" s="68" t="s">
        <v>545</v>
      </c>
      <c r="D43" s="68" t="str">
        <f>VLOOKUP(B43,'MEMÓRIA DE CÁLCULO'!$B:$H,2,)</f>
        <v>60307</v>
      </c>
      <c r="E43" s="71" t="str">
        <f>VLOOKUP(B43,'MEMÓRIA DE CÁLCULO'!$B:$H,3,)</f>
        <v>AÇO CA-50A - 16 MM (5/8") - (OBRAS CIVIS)</v>
      </c>
      <c r="F43" s="69" t="s">
        <v>103</v>
      </c>
      <c r="G43" s="76">
        <f>VLOOKUP(B43,'MEMÓRIA DE CÁLCULO'!B:H,7,)</f>
        <v>78.368000000000009</v>
      </c>
      <c r="H43" s="95"/>
      <c r="I43" s="95"/>
      <c r="J43" s="88">
        <f t="shared" si="2"/>
        <v>0</v>
      </c>
      <c r="K43" s="367" t="e">
        <f t="shared" si="0"/>
        <v>#DIV/0!</v>
      </c>
    </row>
    <row r="44" spans="2:11" ht="15">
      <c r="B44" s="155" t="s">
        <v>119</v>
      </c>
      <c r="C44" s="453" t="s">
        <v>545</v>
      </c>
      <c r="D44" s="68">
        <f>VLOOKUP(B44,'MEMÓRIA DE CÁLCULO'!$B:$H,2,)</f>
        <v>60517</v>
      </c>
      <c r="E44" s="71" t="str">
        <f>VLOOKUP(B44,'MEMÓRIA DE CÁLCULO'!$B:$H,3,)</f>
        <v>PREPARO COM BETONEIRA E TRANSPORTE MANUAL DE CONCRETO FCK=25 MPA</v>
      </c>
      <c r="F44" s="158" t="s">
        <v>32</v>
      </c>
      <c r="G44" s="76">
        <f>VLOOKUP(B44,'MEMÓRIA DE CÁLCULO'!B:H,7,)</f>
        <v>2.2283999999999997</v>
      </c>
      <c r="H44" s="95"/>
      <c r="I44" s="95"/>
      <c r="J44" s="88">
        <f>(H44+I44)*G44</f>
        <v>0</v>
      </c>
      <c r="K44" s="367" t="e">
        <f t="shared" si="0"/>
        <v>#DIV/0!</v>
      </c>
    </row>
    <row r="45" spans="2:11" ht="15">
      <c r="B45" s="86" t="s">
        <v>140</v>
      </c>
      <c r="C45" s="453" t="s">
        <v>545</v>
      </c>
      <c r="D45" s="68">
        <f>VLOOKUP(B45,'MEMÓRIA DE CÁLCULO'!$B:$H,2,)</f>
        <v>60801</v>
      </c>
      <c r="E45" s="71" t="str">
        <f>VLOOKUP(B45,'MEMÓRIA DE CÁLCULO'!$B:$H,3,)</f>
        <v>LANÇAMENTO/APLICAÇÃO/ADENSAMENTO MANUAL DE CONCRETO - (OBRAS CIVIS)</v>
      </c>
      <c r="F45" s="69" t="s">
        <v>17</v>
      </c>
      <c r="G45" s="76">
        <f>VLOOKUP(B45,'MEMÓRIA DE CÁLCULO'!B:H,7,)</f>
        <v>2.2283999999999997</v>
      </c>
      <c r="H45" s="95"/>
      <c r="I45" s="95"/>
      <c r="J45" s="88">
        <f t="shared" ref="J45:J47" si="3">(H45+I45)*G45</f>
        <v>0</v>
      </c>
      <c r="K45" s="367" t="e">
        <f t="shared" si="0"/>
        <v>#DIV/0!</v>
      </c>
    </row>
    <row r="46" spans="2:11" ht="15">
      <c r="B46" s="86" t="s">
        <v>144</v>
      </c>
      <c r="C46" s="453" t="s">
        <v>545</v>
      </c>
      <c r="D46" s="68">
        <f>VLOOKUP(B46,'MEMÓRIA DE CÁLCULO'!$B:$H,2,)</f>
        <v>60209</v>
      </c>
      <c r="E46" s="71" t="str">
        <f>VLOOKUP(B46,'MEMÓRIA DE CÁLCULO'!$B:$H,3,)</f>
        <v>FORMA CH.COMPENSADA 12MM-VIGA/PILAR U=4V - (OBRAS CIVIS)</v>
      </c>
      <c r="F46" s="69" t="s">
        <v>17</v>
      </c>
      <c r="G46" s="76">
        <f>VLOOKUP(B46,'MEMÓRIA DE CÁLCULO'!B:H,7,)</f>
        <v>81.879999999999967</v>
      </c>
      <c r="H46" s="95"/>
      <c r="I46" s="95"/>
      <c r="J46" s="88">
        <f t="shared" si="3"/>
        <v>0</v>
      </c>
      <c r="K46" s="367" t="e">
        <f t="shared" si="0"/>
        <v>#DIV/0!</v>
      </c>
    </row>
    <row r="47" spans="2:11" ht="15.75">
      <c r="B47" s="86" t="s">
        <v>154</v>
      </c>
      <c r="C47" s="453" t="s">
        <v>544</v>
      </c>
      <c r="D47" s="460" t="str">
        <f>'MEMÓRIA DE CÁLCULO'!C216</f>
        <v xml:space="preserve"> 101964</v>
      </c>
      <c r="E47" s="71" t="str">
        <f>'MEMÓRIA DE CÁLCULO'!D216</f>
        <v>LAJE PRÉ-MOLDADA UNIDIRECIONAL, BIAPOIADA, PARA FORRO, ENCHIMENTO EM CERÂM M2 OU EPS</v>
      </c>
      <c r="F47" s="69" t="str">
        <f>'MEMÓRIA DE CÁLCULO'!E216</f>
        <v>m²</v>
      </c>
      <c r="G47" s="76">
        <f>'MEMÓRIA DE CÁLCULO'!H216</f>
        <v>86.454000000000008</v>
      </c>
      <c r="H47" s="95"/>
      <c r="I47" s="95"/>
      <c r="J47" s="88">
        <f t="shared" si="3"/>
        <v>0</v>
      </c>
      <c r="K47" s="533" t="e">
        <f t="shared" si="0"/>
        <v>#DIV/0!</v>
      </c>
    </row>
    <row r="48" spans="2:11" ht="15.75">
      <c r="B48" s="86" t="s">
        <v>161</v>
      </c>
      <c r="C48" s="453" t="s">
        <v>545</v>
      </c>
      <c r="D48" s="460" t="str">
        <f>'MEMÓRIA DE CÁLCULO'!C221</f>
        <v>60010</v>
      </c>
      <c r="E48" s="71" t="str">
        <f>'MEMÓRIA DE CÁLCULO'!D221</f>
        <v>VERGA/CONTRAVERGA EM CONCRETO ARMADO FCK = 20 MPA</v>
      </c>
      <c r="F48" s="69" t="str">
        <f>'MEMÓRIA DE CÁLCULO'!E217</f>
        <v>m²</v>
      </c>
      <c r="G48" s="76">
        <f>'MEMÓRIA DE CÁLCULO'!H221</f>
        <v>0.28800000000000003</v>
      </c>
      <c r="H48" s="95"/>
      <c r="I48" s="95"/>
      <c r="J48" s="88">
        <f t="shared" ref="J48" si="4">(H48+I48)*G48</f>
        <v>0</v>
      </c>
      <c r="K48" s="530" t="e">
        <f t="shared" si="0"/>
        <v>#DIV/0!</v>
      </c>
    </row>
    <row r="49" spans="2:11" ht="15">
      <c r="B49" s="26"/>
      <c r="C49" s="674"/>
      <c r="D49" s="674"/>
      <c r="E49" s="674"/>
      <c r="F49" s="674"/>
      <c r="G49" s="674"/>
      <c r="H49" s="674"/>
      <c r="I49" s="674"/>
      <c r="J49" s="675"/>
      <c r="K49" s="367"/>
    </row>
    <row r="50" spans="2:11" ht="15">
      <c r="B50" s="667" t="s">
        <v>551</v>
      </c>
      <c r="C50" s="668"/>
      <c r="D50" s="668"/>
      <c r="E50" s="668"/>
      <c r="F50" s="668"/>
      <c r="G50" s="668"/>
      <c r="H50" s="668"/>
      <c r="I50" s="669"/>
      <c r="J50" s="48">
        <f>SUM(J52:J87)</f>
        <v>0</v>
      </c>
      <c r="K50" s="367" t="e">
        <f t="shared" ref="K50:K81" si="5">(J50*100%)/$J$218</f>
        <v>#DIV/0!</v>
      </c>
    </row>
    <row r="51" spans="2:11" ht="15">
      <c r="B51" s="22">
        <v>6</v>
      </c>
      <c r="C51" s="662" t="s">
        <v>552</v>
      </c>
      <c r="D51" s="662"/>
      <c r="E51" s="662"/>
      <c r="F51" s="662"/>
      <c r="G51" s="662"/>
      <c r="H51" s="662"/>
      <c r="I51" s="662"/>
      <c r="J51" s="663"/>
      <c r="K51" s="367" t="e">
        <f t="shared" si="5"/>
        <v>#DIV/0!</v>
      </c>
    </row>
    <row r="52" spans="2:11" ht="15">
      <c r="B52" s="155" t="s">
        <v>168</v>
      </c>
      <c r="C52" s="189" t="s">
        <v>544</v>
      </c>
      <c r="D52" s="68">
        <v>97589</v>
      </c>
      <c r="E52" s="71" t="str">
        <f>VLOOKUP(B52,'MEMÓRIA DE CÁLCULO'!$B:$H,3,)</f>
        <v xml:space="preserve">LUMINÁRIA TIPO PAFLON, DE SOBREPOR, COM 1 LÂMPADAS  FLUORESCENTE </v>
      </c>
      <c r="F52" s="158" t="s">
        <v>171</v>
      </c>
      <c r="G52" s="190">
        <f>VLOOKUP(B52,'MEMÓRIA DE CÁLCULO'!$B:$H,7,)</f>
        <v>12</v>
      </c>
      <c r="H52" s="186"/>
      <c r="I52" s="186"/>
      <c r="J52" s="187">
        <f>(I52+H52)*G52</f>
        <v>0</v>
      </c>
      <c r="K52" s="367" t="e">
        <f t="shared" si="5"/>
        <v>#DIV/0!</v>
      </c>
    </row>
    <row r="53" spans="2:11" ht="31.5" customHeight="1">
      <c r="B53" s="86" t="s">
        <v>174</v>
      </c>
      <c r="C53" s="77" t="s">
        <v>545</v>
      </c>
      <c r="D53" s="68" t="str">
        <f>VLOOKUP(B53,'MEMÓRIA DE CÁLCULO'!$B:$H,2,)</f>
        <v>70565</v>
      </c>
      <c r="E53" s="71" t="str">
        <f>VLOOKUP(B53,'MEMÓRIA DE CÁLCULO'!$B:$H,3,)</f>
        <v>CABO FLEXÍVEL, PVC (70° C), 450/750 V, 6 MM2(BRANCO)</v>
      </c>
      <c r="F53" s="69" t="s">
        <v>171</v>
      </c>
      <c r="G53" s="78">
        <f>VLOOKUP(B53,'MEMÓRIA DE CÁLCULO'!$B:$H,7,)</f>
        <v>20</v>
      </c>
      <c r="H53" s="186"/>
      <c r="I53" s="186"/>
      <c r="J53" s="88">
        <f>(I53+H53)*G53</f>
        <v>0</v>
      </c>
      <c r="K53" s="367" t="e">
        <f t="shared" si="5"/>
        <v>#DIV/0!</v>
      </c>
    </row>
    <row r="54" spans="2:11" ht="15">
      <c r="B54" s="86" t="s">
        <v>178</v>
      </c>
      <c r="C54" s="77" t="s">
        <v>545</v>
      </c>
      <c r="D54" s="68" t="str">
        <f>VLOOKUP(B54,'MEMÓRIA DE CÁLCULO'!$B:$H,2,)</f>
        <v>70565</v>
      </c>
      <c r="E54" s="71" t="str">
        <f>VLOOKUP(B54,'MEMÓRIA DE CÁLCULO'!$B:$H,3,)</f>
        <v>CABO FLEXÍVEL, PVC (70° C), 450/750 V, 6 MM2 (PRETO)</v>
      </c>
      <c r="F54" s="69" t="s">
        <v>177</v>
      </c>
      <c r="G54" s="78">
        <f>VLOOKUP(B54,'MEMÓRIA DE CÁLCULO'!$B:$H,7,)</f>
        <v>20</v>
      </c>
      <c r="H54" s="186"/>
      <c r="I54" s="186"/>
      <c r="J54" s="88">
        <f t="shared" ref="J54:J87" si="6">(I54+H54)*G54</f>
        <v>0</v>
      </c>
      <c r="K54" s="367" t="e">
        <f t="shared" si="5"/>
        <v>#DIV/0!</v>
      </c>
    </row>
    <row r="55" spans="2:11" ht="15">
      <c r="B55" s="86" t="s">
        <v>180</v>
      </c>
      <c r="C55" s="77" t="s">
        <v>545</v>
      </c>
      <c r="D55" s="68" t="str">
        <f>VLOOKUP(B55,'MEMÓRIA DE CÁLCULO'!$B:$H,2,)</f>
        <v>70565</v>
      </c>
      <c r="E55" s="71" t="str">
        <f>VLOOKUP(B55,'MEMÓRIA DE CÁLCULO'!$B:$H,3,)</f>
        <v>CABO FLEXÍVEL, PVC (70° C), 450/750 V, 6 MM2 (VERDE)</v>
      </c>
      <c r="F55" s="69" t="s">
        <v>177</v>
      </c>
      <c r="G55" s="78">
        <f>VLOOKUP(B55,'MEMÓRIA DE CÁLCULO'!$B:$H,7,)</f>
        <v>20</v>
      </c>
      <c r="H55" s="186"/>
      <c r="I55" s="186"/>
      <c r="J55" s="88">
        <f t="shared" si="6"/>
        <v>0</v>
      </c>
      <c r="K55" s="367" t="e">
        <f t="shared" si="5"/>
        <v>#DIV/0!</v>
      </c>
    </row>
    <row r="56" spans="2:11" ht="15">
      <c r="B56" s="86" t="s">
        <v>182</v>
      </c>
      <c r="C56" s="77" t="s">
        <v>545</v>
      </c>
      <c r="D56" s="68" t="str">
        <f>VLOOKUP(B56,'MEMÓRIA DE CÁLCULO'!$B:$H,2,)</f>
        <v>70563</v>
      </c>
      <c r="E56" s="71" t="str">
        <f>VLOOKUP(B56,'MEMÓRIA DE CÁLCULO'!$B:$H,3,)</f>
        <v>CABO FLEXÍVEL, PVC (70° C), 450/750 V, 2,5 MM2  (AMARELO)</v>
      </c>
      <c r="F56" s="69" t="s">
        <v>177</v>
      </c>
      <c r="G56" s="78">
        <f>VLOOKUP(B56,'MEMÓRIA DE CÁLCULO'!$B:$H,7,)</f>
        <v>33</v>
      </c>
      <c r="H56" s="186"/>
      <c r="I56" s="186"/>
      <c r="J56" s="88">
        <f t="shared" si="6"/>
        <v>0</v>
      </c>
      <c r="K56" s="367" t="e">
        <f t="shared" si="5"/>
        <v>#DIV/0!</v>
      </c>
    </row>
    <row r="57" spans="2:11" ht="15">
      <c r="B57" s="86" t="s">
        <v>185</v>
      </c>
      <c r="C57" s="77" t="s">
        <v>545</v>
      </c>
      <c r="D57" s="68" t="str">
        <f>VLOOKUP(B57,'MEMÓRIA DE CÁLCULO'!$B:$H,2,)</f>
        <v>70563</v>
      </c>
      <c r="E57" s="71" t="str">
        <f>VLOOKUP(B57,'MEMÓRIA DE CÁLCULO'!$B:$H,3,)</f>
        <v>CABO FLEXÍVEL, PVC (70° C), 450/750 V, 2,5 MM2  (VERDE)</v>
      </c>
      <c r="F57" s="69" t="s">
        <v>177</v>
      </c>
      <c r="G57" s="78">
        <f>VLOOKUP(B57,'MEMÓRIA DE CÁLCULO'!$B:$H,7,)</f>
        <v>70</v>
      </c>
      <c r="H57" s="186"/>
      <c r="I57" s="186"/>
      <c r="J57" s="88">
        <f t="shared" si="6"/>
        <v>0</v>
      </c>
      <c r="K57" s="367" t="e">
        <f t="shared" si="5"/>
        <v>#DIV/0!</v>
      </c>
    </row>
    <row r="58" spans="2:11" ht="15">
      <c r="B58" s="86" t="s">
        <v>187</v>
      </c>
      <c r="C58" s="77" t="s">
        <v>545</v>
      </c>
      <c r="D58" s="68" t="str">
        <f>VLOOKUP(B58,'MEMÓRIA DE CÁLCULO'!$B:$H,2,)</f>
        <v>70563</v>
      </c>
      <c r="E58" s="71" t="str">
        <f>VLOOKUP(B58,'MEMÓRIA DE CÁLCULO'!$B:$H,3,)</f>
        <v>CABO FLEXÍVEL, PVC (70° C), 450/750 V, 2,5 MM2  (BRANCO)</v>
      </c>
      <c r="F58" s="69" t="s">
        <v>177</v>
      </c>
      <c r="G58" s="78">
        <f>VLOOKUP(B58,'MEMÓRIA DE CÁLCULO'!$B:$H,7,)</f>
        <v>110</v>
      </c>
      <c r="H58" s="186"/>
      <c r="I58" s="186"/>
      <c r="J58" s="88">
        <f t="shared" si="6"/>
        <v>0</v>
      </c>
      <c r="K58" s="367" t="e">
        <f t="shared" si="5"/>
        <v>#DIV/0!</v>
      </c>
    </row>
    <row r="59" spans="2:11" ht="15">
      <c r="B59" s="86" t="s">
        <v>189</v>
      </c>
      <c r="C59" s="77" t="s">
        <v>545</v>
      </c>
      <c r="D59" s="68" t="str">
        <f>VLOOKUP(B59,'MEMÓRIA DE CÁLCULO'!$B:$H,2,)</f>
        <v>70563</v>
      </c>
      <c r="E59" s="71" t="str">
        <f>VLOOKUP(B59,'MEMÓRIA DE CÁLCULO'!$B:$H,3,)</f>
        <v>CABO FLEXÍVEL, PVC (70° C), 450/750 V, 2,5 MM2  (PRETO)</v>
      </c>
      <c r="F59" s="69" t="s">
        <v>177</v>
      </c>
      <c r="G59" s="78">
        <f>VLOOKUP(B59,'MEMÓRIA DE CÁLCULO'!$B:$H,7,)</f>
        <v>132</v>
      </c>
      <c r="H59" s="186"/>
      <c r="I59" s="186"/>
      <c r="J59" s="88">
        <f t="shared" si="6"/>
        <v>0</v>
      </c>
      <c r="K59" s="367" t="e">
        <f t="shared" si="5"/>
        <v>#DIV/0!</v>
      </c>
    </row>
    <row r="60" spans="2:11" ht="15">
      <c r="B60" s="86" t="s">
        <v>191</v>
      </c>
      <c r="C60" s="77" t="s">
        <v>545</v>
      </c>
      <c r="D60" s="68">
        <f>VLOOKUP(B60,'MEMÓRIA DE CÁLCULO'!$B:$H,2,)</f>
        <v>70570</v>
      </c>
      <c r="E60" s="71" t="str">
        <f>VLOOKUP(B60,'MEMÓRIA DE CÁLCULO'!$B:$H,3,)</f>
        <v>CABO ISOLADO PVC 750 V, No. 10 MM2 (PRETO)</v>
      </c>
      <c r="F60" s="69" t="s">
        <v>177</v>
      </c>
      <c r="G60" s="78">
        <f>VLOOKUP(B60,'MEMÓRIA DE CÁLCULO'!$B:$H,7,)</f>
        <v>13</v>
      </c>
      <c r="H60" s="186"/>
      <c r="I60" s="186"/>
      <c r="J60" s="88">
        <f t="shared" si="6"/>
        <v>0</v>
      </c>
      <c r="K60" s="367" t="e">
        <f t="shared" si="5"/>
        <v>#DIV/0!</v>
      </c>
    </row>
    <row r="61" spans="2:11" ht="15">
      <c r="B61" s="86" t="s">
        <v>193</v>
      </c>
      <c r="C61" s="77" t="s">
        <v>545</v>
      </c>
      <c r="D61" s="68">
        <f>VLOOKUP(B61,'MEMÓRIA DE CÁLCULO'!$B:$H,2,)</f>
        <v>70570</v>
      </c>
      <c r="E61" s="71" t="str">
        <f>VLOOKUP(B61,'MEMÓRIA DE CÁLCULO'!$B:$H,3,)</f>
        <v>CABO ISOLADO PVC 750 V, No. 10 MM2 (AZUL)</v>
      </c>
      <c r="F61" s="69" t="s">
        <v>177</v>
      </c>
      <c r="G61" s="78">
        <f>VLOOKUP(B61,'MEMÓRIA DE CÁLCULO'!$B:$H,7,)</f>
        <v>13</v>
      </c>
      <c r="H61" s="186"/>
      <c r="I61" s="186"/>
      <c r="J61" s="88">
        <f t="shared" si="6"/>
        <v>0</v>
      </c>
      <c r="K61" s="367" t="e">
        <f t="shared" si="5"/>
        <v>#DIV/0!</v>
      </c>
    </row>
    <row r="62" spans="2:11" ht="15">
      <c r="B62" s="86" t="s">
        <v>195</v>
      </c>
      <c r="C62" s="77" t="s">
        <v>545</v>
      </c>
      <c r="D62" s="68">
        <f>VLOOKUP(B62,'MEMÓRIA DE CÁLCULO'!$B:$H,2,)</f>
        <v>70570</v>
      </c>
      <c r="E62" s="71" t="str">
        <f>VLOOKUP(B62,'MEMÓRIA DE CÁLCULO'!$B:$H,3,)</f>
        <v>CABO ISOLADO PVC 750 V, No. 10 MM2 (BRANCO)</v>
      </c>
      <c r="F62" s="69" t="s">
        <v>177</v>
      </c>
      <c r="G62" s="78">
        <f>VLOOKUP(B62,'MEMÓRIA DE CÁLCULO'!$B:$H,7,)</f>
        <v>13</v>
      </c>
      <c r="H62" s="186"/>
      <c r="I62" s="186"/>
      <c r="J62" s="88">
        <f t="shared" si="6"/>
        <v>0</v>
      </c>
      <c r="K62" s="367" t="e">
        <f t="shared" si="5"/>
        <v>#DIV/0!</v>
      </c>
    </row>
    <row r="63" spans="2:11" ht="15">
      <c r="B63" s="86" t="s">
        <v>197</v>
      </c>
      <c r="C63" s="77" t="s">
        <v>545</v>
      </c>
      <c r="D63" s="68">
        <f>VLOOKUP(B63,'MEMÓRIA DE CÁLCULO'!$B:$H,2,)</f>
        <v>70570</v>
      </c>
      <c r="E63" s="71" t="str">
        <f>VLOOKUP(B63,'MEMÓRIA DE CÁLCULO'!$B:$H,3,)</f>
        <v>CABO ISOLADO PVC 750 V, No. 10 MM2 (VERDE)</v>
      </c>
      <c r="F63" s="69" t="s">
        <v>177</v>
      </c>
      <c r="G63" s="78">
        <f>VLOOKUP(B63,'MEMÓRIA DE CÁLCULO'!$B:$H,7,)</f>
        <v>6</v>
      </c>
      <c r="H63" s="186"/>
      <c r="I63" s="186"/>
      <c r="J63" s="88">
        <f t="shared" si="6"/>
        <v>0</v>
      </c>
      <c r="K63" s="367" t="e">
        <f t="shared" si="5"/>
        <v>#DIV/0!</v>
      </c>
    </row>
    <row r="64" spans="2:11" ht="15">
      <c r="B64" s="86" t="s">
        <v>199</v>
      </c>
      <c r="C64" s="77" t="s">
        <v>545</v>
      </c>
      <c r="D64" s="68">
        <f>VLOOKUP(B64,'MEMÓRIA DE CÁLCULO'!$B:$H,2,)</f>
        <v>70570</v>
      </c>
      <c r="E64" s="71" t="str">
        <f>VLOOKUP(B64,'MEMÓRIA DE CÁLCULO'!$B:$H,3,)</f>
        <v>CABO ISOLADO PVC 750 V, No. 10 MM2 (VERMELHO)</v>
      </c>
      <c r="F64" s="69" t="s">
        <v>177</v>
      </c>
      <c r="G64" s="78">
        <f>VLOOKUP(B64,'MEMÓRIA DE CÁLCULO'!$B:$H,7,)</f>
        <v>13</v>
      </c>
      <c r="H64" s="186"/>
      <c r="I64" s="186"/>
      <c r="J64" s="88">
        <f t="shared" si="6"/>
        <v>0</v>
      </c>
      <c r="K64" s="367" t="e">
        <f t="shared" si="5"/>
        <v>#DIV/0!</v>
      </c>
    </row>
    <row r="65" spans="2:11" ht="15">
      <c r="B65" s="86" t="s">
        <v>201</v>
      </c>
      <c r="C65" s="77" t="s">
        <v>545</v>
      </c>
      <c r="D65" s="68">
        <f>VLOOKUP(B65,'MEMÓRIA DE CÁLCULO'!$B:$H,2,)</f>
        <v>71173</v>
      </c>
      <c r="E65" s="71" t="str">
        <f>VLOOKUP(B65,'MEMÓRIA DE CÁLCULO'!$B:$H,3,)</f>
        <v>DISJUNTOR BIPOLAR DE 10A</v>
      </c>
      <c r="F65" s="69" t="s">
        <v>171</v>
      </c>
      <c r="G65" s="78">
        <f>VLOOKUP(B65,'MEMÓRIA DE CÁLCULO'!$B:$H,7,)</f>
        <v>8</v>
      </c>
      <c r="H65" s="186"/>
      <c r="I65" s="186"/>
      <c r="J65" s="88">
        <f t="shared" si="6"/>
        <v>0</v>
      </c>
      <c r="K65" s="367" t="e">
        <f t="shared" si="5"/>
        <v>#DIV/0!</v>
      </c>
    </row>
    <row r="66" spans="2:11" ht="15">
      <c r="B66" s="86" t="s">
        <v>203</v>
      </c>
      <c r="C66" s="77" t="s">
        <v>545</v>
      </c>
      <c r="D66" s="68">
        <f>VLOOKUP(B66,'MEMÓRIA DE CÁLCULO'!$B:$H,2,)</f>
        <v>71173</v>
      </c>
      <c r="E66" s="71" t="str">
        <f>VLOOKUP(B66,'MEMÓRIA DE CÁLCULO'!$B:$H,3,)</f>
        <v>DISJUNTOR BIPOLAR DE 20A</v>
      </c>
      <c r="F66" s="69" t="s">
        <v>171</v>
      </c>
      <c r="G66" s="78">
        <f>VLOOKUP(B66,'MEMÓRIA DE CÁLCULO'!$B:$H,7,)</f>
        <v>2</v>
      </c>
      <c r="H66" s="186"/>
      <c r="I66" s="186"/>
      <c r="J66" s="88">
        <f t="shared" si="6"/>
        <v>0</v>
      </c>
      <c r="K66" s="367" t="e">
        <f t="shared" si="5"/>
        <v>#DIV/0!</v>
      </c>
    </row>
    <row r="67" spans="2:11" ht="15">
      <c r="B67" s="86" t="s">
        <v>205</v>
      </c>
      <c r="C67" s="77" t="s">
        <v>545</v>
      </c>
      <c r="D67" s="68" t="str">
        <f>VLOOKUP(B67,'MEMÓRIA DE CÁLCULO'!$B:$H,2,)</f>
        <v>3261</v>
      </c>
      <c r="E67" s="71" t="str">
        <f>VLOOKUP(B67,'MEMÓRIA DE CÁLCULO'!$B:$H,3,)</f>
        <v>DISJUNTOR TERMOMAGNÉTICO TRIPOLAR 40A</v>
      </c>
      <c r="F67" s="69" t="s">
        <v>171</v>
      </c>
      <c r="G67" s="78">
        <f>VLOOKUP(B67,'MEMÓRIA DE CÁLCULO'!$B:$H,7,)</f>
        <v>2</v>
      </c>
      <c r="H67" s="186"/>
      <c r="I67" s="186"/>
      <c r="J67" s="88">
        <f t="shared" si="6"/>
        <v>0</v>
      </c>
      <c r="K67" s="367" t="e">
        <f t="shared" si="5"/>
        <v>#DIV/0!</v>
      </c>
    </row>
    <row r="68" spans="2:11" ht="15">
      <c r="B68" s="86" t="s">
        <v>208</v>
      </c>
      <c r="C68" s="77" t="s">
        <v>545</v>
      </c>
      <c r="D68" s="68">
        <f>VLOOKUP(B68,'MEMÓRIA DE CÁLCULO'!$B:$H,2,)</f>
        <v>71194</v>
      </c>
      <c r="E68" s="71" t="str">
        <f>VLOOKUP(B68,'MEMÓRIA DE CÁLCULO'!$B:$H,3,)</f>
        <v>ELETRODUTO PVC FLEXÍVEL - MANGUEIRA CORRUGADA LEVE - DIAM. 25MM</v>
      </c>
      <c r="F68" s="69" t="s">
        <v>171</v>
      </c>
      <c r="G68" s="78">
        <f>VLOOKUP(B68,'MEMÓRIA DE CÁLCULO'!$B:$H,7,)</f>
        <v>80</v>
      </c>
      <c r="H68" s="186"/>
      <c r="I68" s="186"/>
      <c r="J68" s="88">
        <f t="shared" si="6"/>
        <v>0</v>
      </c>
      <c r="K68" s="367" t="e">
        <f t="shared" si="5"/>
        <v>#DIV/0!</v>
      </c>
    </row>
    <row r="69" spans="2:11" ht="15">
      <c r="B69" s="86" t="s">
        <v>210</v>
      </c>
      <c r="C69" s="77" t="s">
        <v>545</v>
      </c>
      <c r="D69" s="68">
        <f>VLOOKUP(B69,'MEMÓRIA DE CÁLCULO'!$B:$H,2,)</f>
        <v>71195</v>
      </c>
      <c r="E69" s="71" t="str">
        <f>VLOOKUP(B69,'MEMÓRIA DE CÁLCULO'!$B:$H,3,)</f>
        <v>ELETRODUTO PVC FLEXÍVEL - MANGUEIRA CORRUGADA LEVE - DIAM. 32MM</v>
      </c>
      <c r="F69" s="69" t="s">
        <v>171</v>
      </c>
      <c r="G69" s="78">
        <f>VLOOKUP(B69,'MEMÓRIA DE CÁLCULO'!$B:$H,7,)</f>
        <v>10</v>
      </c>
      <c r="H69" s="186"/>
      <c r="I69" s="186"/>
      <c r="J69" s="88">
        <f t="shared" si="6"/>
        <v>0</v>
      </c>
      <c r="K69" s="367" t="e">
        <f t="shared" si="5"/>
        <v>#DIV/0!</v>
      </c>
    </row>
    <row r="70" spans="2:11" ht="15">
      <c r="B70" s="86" t="s">
        <v>212</v>
      </c>
      <c r="C70" s="77" t="s">
        <v>544</v>
      </c>
      <c r="D70" s="68" t="str">
        <f>VLOOKUP(B70,'MEMÓRIA DE CÁLCULO'!$B:$H,2,)</f>
        <v>72201</v>
      </c>
      <c r="E70" s="71" t="str">
        <f>VLOOKUP(B70,'MEMÓRIA DE CÁLCULO'!$B:$H,3,)</f>
        <v>QUADRO DE DISTRIBUIÇÃO DE EMBUTIR METÁLICO CB-44E - 150A</v>
      </c>
      <c r="F70" s="69" t="s">
        <v>171</v>
      </c>
      <c r="G70" s="78">
        <f>VLOOKUP(B70,'MEMÓRIA DE CÁLCULO'!$B:$H,7,)</f>
        <v>1</v>
      </c>
      <c r="H70" s="186"/>
      <c r="I70" s="186"/>
      <c r="J70" s="88">
        <f t="shared" si="6"/>
        <v>0</v>
      </c>
      <c r="K70" s="367" t="e">
        <f t="shared" si="5"/>
        <v>#DIV/0!</v>
      </c>
    </row>
    <row r="71" spans="2:11" ht="15">
      <c r="B71" s="86" t="s">
        <v>215</v>
      </c>
      <c r="C71" s="77" t="s">
        <v>545</v>
      </c>
      <c r="D71" s="68">
        <f>VLOOKUP(B71,'MEMÓRIA DE CÁLCULO'!$B:$H,2,)</f>
        <v>72441</v>
      </c>
      <c r="E71" s="71" t="str">
        <f>VLOOKUP(B71,'MEMÓRIA DE CÁLCULO'!$B:$H,3,)</f>
        <v>TAMPA PARA CONDULETE DE PVC PARA 1 TOMADA</v>
      </c>
      <c r="F71" s="69" t="s">
        <v>177</v>
      </c>
      <c r="G71" s="78">
        <f>VLOOKUP(B71,'MEMÓRIA DE CÁLCULO'!$B:$H,7,)</f>
        <v>6</v>
      </c>
      <c r="H71" s="186"/>
      <c r="I71" s="186"/>
      <c r="J71" s="88">
        <f t="shared" si="6"/>
        <v>0</v>
      </c>
      <c r="K71" s="367" t="e">
        <f t="shared" si="5"/>
        <v>#DIV/0!</v>
      </c>
    </row>
    <row r="72" spans="2:11" ht="15">
      <c r="B72" s="86" t="s">
        <v>217</v>
      </c>
      <c r="C72" s="77" t="s">
        <v>545</v>
      </c>
      <c r="D72" s="68">
        <f>VLOOKUP(B72,'MEMÓRIA DE CÁLCULO'!$B:$H,2,)</f>
        <v>72442</v>
      </c>
      <c r="E72" s="71" t="str">
        <f>VLOOKUP(B72,'MEMÓRIA DE CÁLCULO'!$B:$H,3,)</f>
        <v>TAMPA PARA CONDULETE DE PVC PARA 1 INTERRUPTOR E 1 TOMADA</v>
      </c>
      <c r="F72" s="69" t="s">
        <v>177</v>
      </c>
      <c r="G72" s="78">
        <f>VLOOKUP(B72,'MEMÓRIA DE CÁLCULO'!$B:$H,7,)</f>
        <v>4</v>
      </c>
      <c r="H72" s="186"/>
      <c r="I72" s="186"/>
      <c r="J72" s="88">
        <f t="shared" si="6"/>
        <v>0</v>
      </c>
      <c r="K72" s="367" t="e">
        <f t="shared" si="5"/>
        <v>#DIV/0!</v>
      </c>
    </row>
    <row r="73" spans="2:11" ht="15">
      <c r="B73" s="86" t="s">
        <v>219</v>
      </c>
      <c r="C73" s="77" t="s">
        <v>545</v>
      </c>
      <c r="D73" s="68">
        <f>VLOOKUP(B73,'MEMÓRIA DE CÁLCULO'!$B:$H,2,)</f>
        <v>72385</v>
      </c>
      <c r="E73" s="71" t="str">
        <f>VLOOKUP(B73,'MEMÓRIA DE CÁLCULO'!$B:$H,3,)</f>
        <v>TAMPA CEGA PARA CONDULETE DE PVC</v>
      </c>
      <c r="F73" s="69" t="s">
        <v>177</v>
      </c>
      <c r="G73" s="78">
        <f>VLOOKUP(B73,'MEMÓRIA DE CÁLCULO'!$B:$H,7,)</f>
        <v>4</v>
      </c>
      <c r="H73" s="186"/>
      <c r="I73" s="186"/>
      <c r="J73" s="88">
        <f>(I73+H73)*G73</f>
        <v>0</v>
      </c>
      <c r="K73" s="367" t="e">
        <f t="shared" si="5"/>
        <v>#DIV/0!</v>
      </c>
    </row>
    <row r="74" spans="2:11" ht="15">
      <c r="B74" s="86" t="s">
        <v>221</v>
      </c>
      <c r="C74" s="77" t="s">
        <v>545</v>
      </c>
      <c r="D74" s="68">
        <f>VLOOKUP(B74,'MEMÓRIA DE CÁLCULO'!$B:$H,2,)</f>
        <v>71598</v>
      </c>
      <c r="E74" s="71" t="str">
        <f>VLOOKUP(B74,'MEMÓRIA DE CÁLCULO'!$B:$H,3,)</f>
        <v>LUMINÁRIA DE EMERGÊNCIA 30 LEDS</v>
      </c>
      <c r="F74" s="69" t="s">
        <v>171</v>
      </c>
      <c r="G74" s="78">
        <f>VLOOKUP(B74,'MEMÓRIA DE CÁLCULO'!$B:$H,7,)</f>
        <v>3</v>
      </c>
      <c r="H74" s="186"/>
      <c r="I74" s="186"/>
      <c r="J74" s="88">
        <f t="shared" si="6"/>
        <v>0</v>
      </c>
      <c r="K74" s="367" t="e">
        <f t="shared" si="5"/>
        <v>#DIV/0!</v>
      </c>
    </row>
    <row r="75" spans="2:11" ht="15">
      <c r="B75" s="86" t="s">
        <v>223</v>
      </c>
      <c r="C75" s="77" t="s">
        <v>545</v>
      </c>
      <c r="D75" s="68">
        <f>VLOOKUP(B75,'MEMÓRIA DE CÁLCULO'!$B:$H,2,)</f>
        <v>71321</v>
      </c>
      <c r="E75" s="71" t="str">
        <f>VLOOKUP(B75,'MEMÓRIA DE CÁLCULO'!$B:$H,3,)</f>
        <v>FITA DE AUTO FUSÃO, ROLO E 10,00 MM</v>
      </c>
      <c r="F75" s="69" t="s">
        <v>171</v>
      </c>
      <c r="G75" s="78">
        <v>1</v>
      </c>
      <c r="H75" s="186"/>
      <c r="I75" s="186"/>
      <c r="J75" s="88">
        <f t="shared" si="6"/>
        <v>0</v>
      </c>
      <c r="K75" s="367" t="e">
        <f t="shared" si="5"/>
        <v>#DIV/0!</v>
      </c>
    </row>
    <row r="76" spans="2:11" ht="15">
      <c r="B76" s="86" t="s">
        <v>225</v>
      </c>
      <c r="C76" s="77" t="s">
        <v>545</v>
      </c>
      <c r="D76" s="68">
        <f>VLOOKUP(B76,'MEMÓRIA DE CÁLCULO'!$B:$H,2,)</f>
        <v>70681</v>
      </c>
      <c r="E76" s="71" t="str">
        <f>VLOOKUP(B76,'MEMÓRIA DE CÁLCULO'!$B:$H,3,)</f>
        <v>CAIXA METÁLICA OCTOGONAL FUNDO MÓVEL, SIMPLES 2"</v>
      </c>
      <c r="F76" s="69" t="s">
        <v>171</v>
      </c>
      <c r="G76" s="78">
        <f>VLOOKUP(B76,'MEMÓRIA DE CÁLCULO'!$B:$H,7,)</f>
        <v>12</v>
      </c>
      <c r="H76" s="186"/>
      <c r="I76" s="186"/>
      <c r="J76" s="88">
        <f t="shared" si="6"/>
        <v>0</v>
      </c>
      <c r="K76" s="367" t="e">
        <f t="shared" si="5"/>
        <v>#DIV/0!</v>
      </c>
    </row>
    <row r="77" spans="2:11" ht="15">
      <c r="B77" s="86" t="s">
        <v>227</v>
      </c>
      <c r="C77" s="77" t="s">
        <v>545</v>
      </c>
      <c r="D77" s="68">
        <f>VLOOKUP(B77,'MEMÓRIA DE CÁLCULO'!$B:$H,2,)</f>
        <v>70924</v>
      </c>
      <c r="E77" s="71" t="str">
        <f>VLOOKUP(B77,'MEMÓRIA DE CÁLCULO'!$B:$H,3,)</f>
        <v>CONDULETE DE PVC - CAIXA COM 5 ENTRADAS</v>
      </c>
      <c r="F77" s="69" t="s">
        <v>171</v>
      </c>
      <c r="G77" s="78">
        <f>VLOOKUP(B77,'MEMÓRIA DE CÁLCULO'!$B:$H,7,)</f>
        <v>20</v>
      </c>
      <c r="H77" s="186"/>
      <c r="I77" s="186"/>
      <c r="J77" s="88">
        <f>(I77+H77)*G77</f>
        <v>0</v>
      </c>
      <c r="K77" s="367" t="e">
        <f t="shared" si="5"/>
        <v>#DIV/0!</v>
      </c>
    </row>
    <row r="78" spans="2:11" ht="15">
      <c r="B78" s="86" t="s">
        <v>229</v>
      </c>
      <c r="C78" s="77" t="s">
        <v>545</v>
      </c>
      <c r="D78" s="68">
        <f>VLOOKUP(B78,'MEMÓRIA DE CÁLCULO'!$B:$H,2,)</f>
        <v>71043</v>
      </c>
      <c r="E78" s="71" t="str">
        <f>VLOOKUP(B78,'MEMÓRIA DE CÁLCULO'!$B:$H,3,)</f>
        <v>CONECTOR TRIPOLAR EM PORCELANA PARA FIOS DE ATÉ 10MM2 (BORNES) 50A-250V ( CHUVEIRO</v>
      </c>
      <c r="F78" s="69" t="s">
        <v>171</v>
      </c>
      <c r="G78" s="78">
        <f>VLOOKUP(B78,'MEMÓRIA DE CÁLCULO'!$B:$H,7,)</f>
        <v>3</v>
      </c>
      <c r="H78" s="186"/>
      <c r="I78" s="186"/>
      <c r="J78" s="88">
        <f t="shared" si="6"/>
        <v>0</v>
      </c>
      <c r="K78" s="367" t="e">
        <f t="shared" si="5"/>
        <v>#DIV/0!</v>
      </c>
    </row>
    <row r="79" spans="2:11" ht="15">
      <c r="B79" s="86" t="s">
        <v>231</v>
      </c>
      <c r="C79" s="77" t="s">
        <v>545</v>
      </c>
      <c r="D79" s="68">
        <f>VLOOKUP(B79,'MEMÓRIA DE CÁLCULO'!$B:$H,2,)</f>
        <v>71440</v>
      </c>
      <c r="E79" s="71" t="str">
        <f>VLOOKUP(B79,'MEMÓRIA DE CÁLCULO'!$B:$H,3,)</f>
        <v>INTERRUPTOR SIMPLES (1 SECAO)</v>
      </c>
      <c r="F79" s="69" t="s">
        <v>171</v>
      </c>
      <c r="G79" s="78">
        <f>VLOOKUP(B79,'MEMÓRIA DE CÁLCULO'!$B:$H,7,)</f>
        <v>2</v>
      </c>
      <c r="H79" s="186"/>
      <c r="I79" s="186"/>
      <c r="J79" s="88">
        <f t="shared" si="6"/>
        <v>0</v>
      </c>
      <c r="K79" s="367" t="e">
        <f t="shared" si="5"/>
        <v>#DIV/0!</v>
      </c>
    </row>
    <row r="80" spans="2:11" ht="15">
      <c r="B80" s="86" t="s">
        <v>233</v>
      </c>
      <c r="C80" s="77" t="s">
        <v>545</v>
      </c>
      <c r="D80" s="68" t="str">
        <f>VLOOKUP(B80,'MEMÓRIA DE CÁLCULO'!$B:$H,2,)</f>
        <v>71443</v>
      </c>
      <c r="E80" s="71" t="str">
        <f>VLOOKUP(B80,'MEMÓRIA DE CÁLCULO'!$B:$H,3,)</f>
        <v>INTERRUPTOR SIMPLES + 1 TOMADA HEXAGONAL 2P+T 10A</v>
      </c>
      <c r="F80" s="69" t="s">
        <v>171</v>
      </c>
      <c r="G80" s="78">
        <f>VLOOKUP(B80,'MEMÓRIA DE CÁLCULO'!$B:$H,7,)</f>
        <v>4</v>
      </c>
      <c r="H80" s="186"/>
      <c r="I80" s="186"/>
      <c r="J80" s="88">
        <f>(I80+H80)*G80</f>
        <v>0</v>
      </c>
      <c r="K80" s="367" t="e">
        <f t="shared" si="5"/>
        <v>#DIV/0!</v>
      </c>
    </row>
    <row r="81" spans="2:11" ht="15">
      <c r="B81" s="86" t="s">
        <v>236</v>
      </c>
      <c r="C81" s="77" t="s">
        <v>545</v>
      </c>
      <c r="D81" s="68">
        <f>VLOOKUP(B81,'MEMÓRIA DE CÁLCULO'!$B:$H,2,)</f>
        <v>72570</v>
      </c>
      <c r="E81" s="71" t="str">
        <f>VLOOKUP(B81,'MEMÓRIA DE CÁLCULO'!$B:$H,3,)</f>
        <v>TOMADA HEXAGONAL 2P + T - 10A - 250V (LINHA X OU EQUIVALENTE)</v>
      </c>
      <c r="F81" s="69" t="s">
        <v>177</v>
      </c>
      <c r="G81" s="78">
        <f>VLOOKUP(B81,'MEMÓRIA DE CÁLCULO'!$B:$H,7,)</f>
        <v>6</v>
      </c>
      <c r="H81" s="186"/>
      <c r="I81" s="186"/>
      <c r="J81" s="88">
        <f>(I81+H81)*G81</f>
        <v>0</v>
      </c>
      <c r="K81" s="367" t="e">
        <f t="shared" si="5"/>
        <v>#DIV/0!</v>
      </c>
    </row>
    <row r="82" spans="2:11" ht="15">
      <c r="B82" s="86" t="s">
        <v>238</v>
      </c>
      <c r="C82" s="77" t="s">
        <v>545</v>
      </c>
      <c r="D82" s="68">
        <f>VLOOKUP(B82,'MEMÓRIA DE CÁLCULO'!$B:$H,2,)</f>
        <v>72575</v>
      </c>
      <c r="E82" s="71" t="str">
        <f>VLOOKUP(B82,'MEMÓRIA DE CÁLCULO'!$B:$H,3,)</f>
        <v>TOMADA HEXAGONAL 2P + T - 20A - 250V (LINHA X OU EQUIVALENTE)</v>
      </c>
      <c r="F82" s="69" t="s">
        <v>171</v>
      </c>
      <c r="G82" s="78">
        <f>VLOOKUP(B82,'MEMÓRIA DE CÁLCULO'!$B:$H,7,)</f>
        <v>3</v>
      </c>
      <c r="H82" s="186"/>
      <c r="I82" s="186"/>
      <c r="J82" s="88">
        <f t="shared" si="6"/>
        <v>0</v>
      </c>
      <c r="K82" s="367" t="e">
        <f t="shared" ref="K82:K113" si="7">(J82*100%)/$J$218</f>
        <v>#DIV/0!</v>
      </c>
    </row>
    <row r="83" spans="2:11" ht="15">
      <c r="B83" s="86" t="s">
        <v>240</v>
      </c>
      <c r="C83" s="77" t="s">
        <v>545</v>
      </c>
      <c r="D83" s="68">
        <f>VLOOKUP(B83,'MEMÓRIA DE CÁLCULO'!$B:$H,2,)</f>
        <v>70710</v>
      </c>
      <c r="E83" s="71" t="str">
        <f>VLOOKUP(B83,'MEMÓRIA DE CÁLCULO'!$B:$H,3,)</f>
        <v>CAIXA DE PASSAGEM 30X30X40CM COM TAMPA E DRENO BRITA</v>
      </c>
      <c r="F83" s="69" t="s">
        <v>171</v>
      </c>
      <c r="G83" s="78">
        <f>VLOOKUP(B83,'MEMÓRIA DE CÁLCULO'!$B:$H,7,)</f>
        <v>1</v>
      </c>
      <c r="H83" s="186"/>
      <c r="I83" s="186"/>
      <c r="J83" s="88">
        <f>(I83+H83)*G83</f>
        <v>0</v>
      </c>
      <c r="K83" s="367" t="e">
        <f t="shared" si="7"/>
        <v>#DIV/0!</v>
      </c>
    </row>
    <row r="84" spans="2:11" ht="15">
      <c r="B84" s="86" t="s">
        <v>242</v>
      </c>
      <c r="C84" s="77" t="s">
        <v>545</v>
      </c>
      <c r="D84" s="68">
        <f>VLOOKUP(B84,'MEMÓRIA DE CÁLCULO'!$B:$H,2,)</f>
        <v>70542</v>
      </c>
      <c r="E84" s="71" t="str">
        <f>VLOOKUP(B84,'MEMÓRIA DE CÁLCULO'!$B:$H,3,)</f>
        <v>CABO DE COBRE NU No. 25 MM2 (4,73 M /KG)</v>
      </c>
      <c r="F84" s="69" t="s">
        <v>171</v>
      </c>
      <c r="G84" s="78">
        <f>VLOOKUP(B84,'MEMÓRIA DE CÁLCULO'!$B:$H,7,)</f>
        <v>5</v>
      </c>
      <c r="H84" s="186"/>
      <c r="I84" s="186"/>
      <c r="J84" s="88">
        <f t="shared" si="6"/>
        <v>0</v>
      </c>
      <c r="K84" s="367" t="e">
        <f t="shared" si="7"/>
        <v>#DIV/0!</v>
      </c>
    </row>
    <row r="85" spans="2:11" ht="15">
      <c r="B85" s="86" t="s">
        <v>244</v>
      </c>
      <c r="C85" s="77" t="s">
        <v>545</v>
      </c>
      <c r="D85" s="68">
        <f>VLOOKUP(B85,'MEMÓRIA DE CÁLCULO'!$B:$H,2,)</f>
        <v>71380</v>
      </c>
      <c r="E85" s="71" t="str">
        <f>VLOOKUP(B85,'MEMÓRIA DE CÁLCULO'!$B:$H,3,)</f>
        <v>HASTE REV.COBRE(COPPERWELD) 3/4" X 2,40 M C/CONECTOR</v>
      </c>
      <c r="F85" s="69" t="s">
        <v>171</v>
      </c>
      <c r="G85" s="78">
        <f>VLOOKUP(B85,'MEMÓRIA DE CÁLCULO'!$B:$H,7,)</f>
        <v>3</v>
      </c>
      <c r="H85" s="186"/>
      <c r="I85" s="186"/>
      <c r="J85" s="88">
        <f t="shared" si="6"/>
        <v>0</v>
      </c>
      <c r="K85" s="367" t="e">
        <f t="shared" si="7"/>
        <v>#DIV/0!</v>
      </c>
    </row>
    <row r="86" spans="2:11" ht="15">
      <c r="B86" s="525" t="s">
        <v>246</v>
      </c>
      <c r="C86" s="77" t="s">
        <v>545</v>
      </c>
      <c r="D86" s="526" t="str">
        <f>VLOOKUP(B86,'MEMÓRIA DE CÁLCULO'!$B:$H,2,)</f>
        <v>COMPOSIÇÃO 2</v>
      </c>
      <c r="E86" s="71" t="str">
        <f>VLOOKUP(B86,'MEMÓRIA DE CÁLCULO'!$B:$H,3,)</f>
        <v>CONECTOR PARA HASTE DE ATERRAMENTO 3/4"</v>
      </c>
      <c r="F86" s="72" t="s">
        <v>171</v>
      </c>
      <c r="G86" s="527">
        <f>VLOOKUP(B86,'MEMÓRIA DE CÁLCULO'!$B:$H,7,)</f>
        <v>2</v>
      </c>
      <c r="H86" s="528"/>
      <c r="I86" s="528"/>
      <c r="J86" s="529">
        <f>(I86+H86)*G86</f>
        <v>0</v>
      </c>
      <c r="K86" s="367" t="e">
        <f t="shared" si="7"/>
        <v>#DIV/0!</v>
      </c>
    </row>
    <row r="87" spans="2:11" ht="15">
      <c r="B87" s="86" t="s">
        <v>249</v>
      </c>
      <c r="C87" s="77" t="s">
        <v>545</v>
      </c>
      <c r="D87" s="68" t="str">
        <f>VLOOKUP(B87,'MEMÓRIA DE CÁLCULO'!$B:$H,2,)</f>
        <v>71186</v>
      </c>
      <c r="E87" s="71" t="str">
        <f>VLOOKUP(B87,'MEMÓRIA DE CÁLCULO'!$B:$H,3,)</f>
        <v>DISPOSITIVO DE PROTEÇÃO CONTRA SURTOS (D.P.S.) 275V DE 90KA</v>
      </c>
      <c r="F87" s="69" t="s">
        <v>171</v>
      </c>
      <c r="G87" s="78">
        <f>VLOOKUP(B87,'MEMÓRIA DE CÁLCULO'!$B:$H,7,)</f>
        <v>4</v>
      </c>
      <c r="H87" s="186"/>
      <c r="I87" s="186"/>
      <c r="J87" s="88">
        <f t="shared" si="6"/>
        <v>0</v>
      </c>
      <c r="K87" s="367" t="e">
        <f t="shared" si="7"/>
        <v>#DIV/0!</v>
      </c>
    </row>
    <row r="88" spans="2:11" ht="15">
      <c r="B88" s="26"/>
      <c r="C88" s="119"/>
      <c r="D88" s="119"/>
      <c r="E88" s="113"/>
      <c r="G88" s="234"/>
      <c r="H88" s="120"/>
      <c r="I88" s="120"/>
      <c r="J88" s="121"/>
      <c r="K88" s="367" t="e">
        <f t="shared" si="7"/>
        <v>#DIV/0!</v>
      </c>
    </row>
    <row r="89" spans="2:11" s="23" customFormat="1" ht="15">
      <c r="B89" s="667" t="s">
        <v>553</v>
      </c>
      <c r="C89" s="668"/>
      <c r="D89" s="668"/>
      <c r="E89" s="668"/>
      <c r="F89" s="668"/>
      <c r="G89" s="668"/>
      <c r="H89" s="668"/>
      <c r="I89" s="669"/>
      <c r="J89" s="50">
        <f>J91+J120+J138</f>
        <v>0</v>
      </c>
      <c r="K89" s="367" t="e">
        <f t="shared" si="7"/>
        <v>#DIV/0!</v>
      </c>
    </row>
    <row r="90" spans="2:11" s="23" customFormat="1" ht="15">
      <c r="B90" s="22">
        <v>7</v>
      </c>
      <c r="C90" s="670" t="s">
        <v>554</v>
      </c>
      <c r="D90" s="670"/>
      <c r="E90" s="670"/>
      <c r="F90" s="670"/>
      <c r="G90" s="670"/>
      <c r="H90" s="670"/>
      <c r="I90" s="670"/>
      <c r="J90" s="671"/>
      <c r="K90" s="367" t="e">
        <f t="shared" si="7"/>
        <v>#DIV/0!</v>
      </c>
    </row>
    <row r="91" spans="2:11" s="23" customFormat="1" ht="15">
      <c r="B91" s="681" t="s">
        <v>555</v>
      </c>
      <c r="C91" s="682"/>
      <c r="D91" s="682"/>
      <c r="E91" s="682"/>
      <c r="F91" s="682"/>
      <c r="G91" s="682"/>
      <c r="H91" s="682"/>
      <c r="I91" s="682"/>
      <c r="J91" s="80">
        <f>SUM(J92:J119)</f>
        <v>0</v>
      </c>
      <c r="K91" s="367" t="e">
        <f t="shared" si="7"/>
        <v>#DIV/0!</v>
      </c>
    </row>
    <row r="92" spans="2:11" s="23" customFormat="1" ht="15">
      <c r="B92" s="86" t="s">
        <v>256</v>
      </c>
      <c r="C92" s="68" t="s">
        <v>545</v>
      </c>
      <c r="D92" s="68">
        <f>VLOOKUP(B92,'MEMÓRIA DE CÁLCULO'!$B:$H,2,)</f>
        <v>80721</v>
      </c>
      <c r="E92" s="71" t="str">
        <f>VLOOKUP(B92,'MEMÓRIA DE CÁLCULO'!$B:$H,3,)</f>
        <v>CHUVEIRO ELÉTRICO EM PVC COM BRAÇO METÁLICO</v>
      </c>
      <c r="F92" s="69" t="s">
        <v>171</v>
      </c>
      <c r="G92" s="78">
        <f>VLOOKUP(B92,'MEMÓRIA DE CÁLCULO'!$B:$H,7,)</f>
        <v>2</v>
      </c>
      <c r="H92" s="73"/>
      <c r="I92" s="73"/>
      <c r="J92" s="88">
        <f t="shared" ref="J92:J97" si="8">(I92+H92)*G92</f>
        <v>0</v>
      </c>
      <c r="K92" s="367" t="e">
        <f t="shared" si="7"/>
        <v>#DIV/0!</v>
      </c>
    </row>
    <row r="93" spans="2:11" s="23" customFormat="1" ht="15">
      <c r="B93" s="86" t="s">
        <v>259</v>
      </c>
      <c r="C93" s="68" t="s">
        <v>545</v>
      </c>
      <c r="D93" s="68">
        <f>VLOOKUP(B93,'MEMÓRIA DE CÁLCULO'!$B:$H,2,)</f>
        <v>80590</v>
      </c>
      <c r="E93" s="71" t="str">
        <f>VLOOKUP(B93,'MEMÓRIA DE CÁLCULO'!$B:$H,3,)</f>
        <v>CUBA DE LOUÇA DE EMBUTIR OVAL MÉDIA</v>
      </c>
      <c r="F93" s="69" t="s">
        <v>171</v>
      </c>
      <c r="G93" s="78">
        <f>VLOOKUP(B93,'MEMÓRIA DE CÁLCULO'!$B:$H,7,)</f>
        <v>3</v>
      </c>
      <c r="H93" s="73"/>
      <c r="I93" s="73"/>
      <c r="J93" s="88">
        <f t="shared" si="8"/>
        <v>0</v>
      </c>
      <c r="K93" s="367" t="e">
        <f t="shared" si="7"/>
        <v>#DIV/0!</v>
      </c>
    </row>
    <row r="94" spans="2:11" s="23" customFormat="1" ht="15">
      <c r="B94" s="86" t="s">
        <v>261</v>
      </c>
      <c r="C94" s="68" t="s">
        <v>545</v>
      </c>
      <c r="D94" s="68">
        <f>VLOOKUP(B94,'MEMÓRIA DE CÁLCULO'!$B:$H,2,)</f>
        <v>80656</v>
      </c>
      <c r="E94" s="71" t="str">
        <f>VLOOKUP(B94,'MEMÓRIA DE CÁLCULO'!$B:$H,3,)</f>
        <v>TORNEIRA DE MESA PARA PIA DIÂMETRO DE 1/2" - BICA MÓVEL</v>
      </c>
      <c r="F94" s="69" t="s">
        <v>171</v>
      </c>
      <c r="G94" s="78">
        <f>VLOOKUP(B94,'MEMÓRIA DE CÁLCULO'!$B:$H,7,)</f>
        <v>3</v>
      </c>
      <c r="H94" s="73"/>
      <c r="I94" s="73"/>
      <c r="J94" s="88">
        <f t="shared" si="8"/>
        <v>0</v>
      </c>
      <c r="K94" s="367" t="e">
        <f t="shared" si="7"/>
        <v>#DIV/0!</v>
      </c>
    </row>
    <row r="95" spans="2:11" s="23" customFormat="1" ht="15">
      <c r="B95" s="86" t="s">
        <v>263</v>
      </c>
      <c r="C95" s="68" t="s">
        <v>545</v>
      </c>
      <c r="D95" s="68">
        <f>VLOOKUP(B95,'MEMÓRIA DE CÁLCULO'!$B:$H,2,)</f>
        <v>80556</v>
      </c>
      <c r="E95" s="71" t="str">
        <f>VLOOKUP(B95,'MEMÓRIA DE CÁLCULO'!$B:$H,3,)</f>
        <v>LIGAÇÃO FLEXÍVEL PVC DIAM.1/2" (ENGATE)</v>
      </c>
      <c r="F95" s="69" t="s">
        <v>171</v>
      </c>
      <c r="G95" s="78">
        <f>VLOOKUP(B95,'MEMÓRIA DE CÁLCULO'!$B:$H,7,)</f>
        <v>3</v>
      </c>
      <c r="H95" s="73"/>
      <c r="I95" s="73"/>
      <c r="J95" s="88">
        <f t="shared" si="8"/>
        <v>0</v>
      </c>
      <c r="K95" s="367" t="e">
        <f t="shared" si="7"/>
        <v>#DIV/0!</v>
      </c>
    </row>
    <row r="96" spans="2:11" s="23" customFormat="1" ht="15">
      <c r="B96" s="86" t="s">
        <v>265</v>
      </c>
      <c r="C96" s="68" t="s">
        <v>545</v>
      </c>
      <c r="D96" s="68">
        <f>VLOOKUP(B96,'MEMÓRIA DE CÁLCULO'!$B:$H,2,)</f>
        <v>80671</v>
      </c>
      <c r="E96" s="71" t="str">
        <f>VLOOKUP(B96,'MEMÓRIA DE CÁLCULO'!$B:$H,3,)</f>
        <v>SIFÃO PVC P/PIA 1.1/2" X 2"</v>
      </c>
      <c r="F96" s="69" t="s">
        <v>171</v>
      </c>
      <c r="G96" s="78">
        <f>VLOOKUP(B96,'MEMÓRIA DE CÁLCULO'!$B:$H,7,)</f>
        <v>3</v>
      </c>
      <c r="H96" s="73"/>
      <c r="I96" s="73"/>
      <c r="J96" s="88">
        <f t="shared" si="8"/>
        <v>0</v>
      </c>
      <c r="K96" s="367" t="e">
        <f t="shared" si="7"/>
        <v>#DIV/0!</v>
      </c>
    </row>
    <row r="97" spans="2:11" ht="15">
      <c r="B97" s="86" t="s">
        <v>267</v>
      </c>
      <c r="C97" s="68" t="s">
        <v>545</v>
      </c>
      <c r="D97" s="68">
        <f>VLOOKUP(B97,'MEMÓRIA DE CÁLCULO'!$B:$H,2,)</f>
        <v>80532</v>
      </c>
      <c r="E97" s="71" t="str">
        <f>VLOOKUP(B97,'MEMÓRIA DE CÁLCULO'!$B:$H,3,)</f>
        <v>PORTA PAPEL HIGIÊNICO EM METAL/ACABAMENTO CROMADO</v>
      </c>
      <c r="F97" s="69" t="s">
        <v>171</v>
      </c>
      <c r="G97" s="78">
        <f>VLOOKUP(B97,'MEMÓRIA DE CÁLCULO'!$B:$H,7,)</f>
        <v>3</v>
      </c>
      <c r="H97" s="73"/>
      <c r="I97" s="73"/>
      <c r="J97" s="88">
        <f t="shared" si="8"/>
        <v>0</v>
      </c>
      <c r="K97" s="367" t="e">
        <f t="shared" si="7"/>
        <v>#DIV/0!</v>
      </c>
    </row>
    <row r="98" spans="2:11" s="23" customFormat="1" ht="15">
      <c r="B98" s="86" t="s">
        <v>269</v>
      </c>
      <c r="C98" s="68" t="s">
        <v>544</v>
      </c>
      <c r="D98" s="68" t="str">
        <f>VLOOKUP(B98,'MEMÓRIA DE CÁLCULO'!$B:$H,2,)</f>
        <v xml:space="preserve"> 95547</v>
      </c>
      <c r="E98" s="71" t="str">
        <f>VLOOKUP(B98,'MEMÓRIA DE CÁLCULO'!$B:$H,3,)</f>
        <v>SABONETEIRA PLÁSTICA TIPO DISPENSER PARA SABONETE LÍQUIDO COM RESERVATÓRIO UN 800 A 1500 ML, INCLUSO FIXAÇÃO</v>
      </c>
      <c r="F98" s="69" t="s">
        <v>171</v>
      </c>
      <c r="G98" s="78">
        <f>VLOOKUP(B98,'MEMÓRIA DE CÁLCULO'!$B:$H,7,)</f>
        <v>1</v>
      </c>
      <c r="H98" s="73"/>
      <c r="I98" s="73"/>
      <c r="J98" s="88">
        <f t="shared" ref="J98:J118" si="9">(I98+H98)*G98</f>
        <v>0</v>
      </c>
      <c r="K98" s="367" t="e">
        <f t="shared" si="7"/>
        <v>#DIV/0!</v>
      </c>
    </row>
    <row r="99" spans="2:11" s="23" customFormat="1" ht="15">
      <c r="B99" s="86" t="s">
        <v>272</v>
      </c>
      <c r="C99" s="68" t="s">
        <v>545</v>
      </c>
      <c r="D99" s="68">
        <f>VLOOKUP(B99,'MEMÓRIA DE CÁLCULO'!$B:$H,2,)</f>
        <v>80520</v>
      </c>
      <c r="E99" s="71" t="str">
        <f>VLOOKUP(B99,'MEMÓRIA DE CÁLCULO'!$B:$H,3,)</f>
        <v>CONJUNTO DE FIXAÇÃO P/VASO SANITÁRIO (PAR)</v>
      </c>
      <c r="F99" s="69" t="s">
        <v>171</v>
      </c>
      <c r="G99" s="78">
        <f>VLOOKUP(B99,'MEMÓRIA DE CÁLCULO'!$B:$H,7,)</f>
        <v>3</v>
      </c>
      <c r="H99" s="73"/>
      <c r="I99" s="73"/>
      <c r="J99" s="88">
        <f t="shared" si="9"/>
        <v>0</v>
      </c>
      <c r="K99" s="367" t="e">
        <f t="shared" si="7"/>
        <v>#DIV/0!</v>
      </c>
    </row>
    <row r="100" spans="2:11" s="23" customFormat="1" ht="15">
      <c r="B100" s="86" t="s">
        <v>275</v>
      </c>
      <c r="C100" s="68" t="s">
        <v>545</v>
      </c>
      <c r="D100" s="68">
        <f>VLOOKUP(B100,'MEMÓRIA DE CÁLCULO'!$B:$H,2,)</f>
        <v>81006</v>
      </c>
      <c r="E100" s="71" t="str">
        <f>VLOOKUP(B100,'MEMÓRIA DE CÁLCULO'!$B:$H,3,)</f>
        <v>TUBO SOLDÁVEL PVC MARROM DIAMETRO 50 mm</v>
      </c>
      <c r="F100" s="69" t="s">
        <v>171</v>
      </c>
      <c r="G100" s="78">
        <v>9.1</v>
      </c>
      <c r="H100" s="73"/>
      <c r="I100" s="73"/>
      <c r="J100" s="88">
        <f t="shared" si="9"/>
        <v>0</v>
      </c>
      <c r="K100" s="367" t="e">
        <f t="shared" si="7"/>
        <v>#DIV/0!</v>
      </c>
    </row>
    <row r="101" spans="2:11" s="23" customFormat="1" ht="15">
      <c r="B101" s="86" t="s">
        <v>277</v>
      </c>
      <c r="C101" s="68" t="s">
        <v>545</v>
      </c>
      <c r="D101" s="68">
        <f>VLOOKUP(B101,'MEMÓRIA DE CÁLCULO'!$B:$H,2,)</f>
        <v>80926</v>
      </c>
      <c r="E101" s="71" t="str">
        <f>VLOOKUP(B101,'MEMÓRIA DE CÁLCULO'!$B:$H,3,)</f>
        <v>REGISTRO DE GAVETA C/CANOPLA DIÂMETRO 3/4"</v>
      </c>
      <c r="F101" s="69" t="s">
        <v>171</v>
      </c>
      <c r="G101" s="78">
        <f>VLOOKUP(B101,'MEMÓRIA DE CÁLCULO'!$B:$H,7,)</f>
        <v>2</v>
      </c>
      <c r="H101" s="73"/>
      <c r="I101" s="73"/>
      <c r="J101" s="88">
        <f t="shared" si="9"/>
        <v>0</v>
      </c>
      <c r="K101" s="367" t="e">
        <f t="shared" si="7"/>
        <v>#DIV/0!</v>
      </c>
    </row>
    <row r="102" spans="2:11" s="23" customFormat="1" ht="15">
      <c r="B102" s="86" t="s">
        <v>279</v>
      </c>
      <c r="C102" s="68" t="s">
        <v>545</v>
      </c>
      <c r="D102" s="68">
        <f>VLOOKUP(B102,'MEMÓRIA DE CÁLCULO'!$B:$H,2,)</f>
        <v>80946</v>
      </c>
      <c r="E102" s="71" t="str">
        <f>VLOOKUP(B102,'MEMÓRIA DE CÁLCULO'!$B:$H,3,)</f>
        <v>REGISTRO DE PRESSÃO C/CANOPLA CROMADA DIÂM.3/4"</v>
      </c>
      <c r="F102" s="69" t="s">
        <v>171</v>
      </c>
      <c r="G102" s="78">
        <f>VLOOKUP(B102,'MEMÓRIA DE CÁLCULO'!$B:$H,7,)</f>
        <v>2</v>
      </c>
      <c r="H102" s="73"/>
      <c r="I102" s="73"/>
      <c r="J102" s="88">
        <f t="shared" si="9"/>
        <v>0</v>
      </c>
      <c r="K102" s="367" t="e">
        <f t="shared" si="7"/>
        <v>#DIV/0!</v>
      </c>
    </row>
    <row r="103" spans="2:11" s="23" customFormat="1" ht="15">
      <c r="B103" s="86" t="s">
        <v>281</v>
      </c>
      <c r="C103" s="68" t="s">
        <v>545</v>
      </c>
      <c r="D103" s="68">
        <f>VLOOKUP(B103,'MEMÓRIA DE CÁLCULO'!$B:$H,2,)</f>
        <v>80905</v>
      </c>
      <c r="E103" s="71" t="str">
        <f>VLOOKUP(B103,'MEMÓRIA DE CÁLCULO'!$B:$H,3,)</f>
        <v>REGISTRO DE GAVETA BRUTO DIÂMETRO 1.1/2"</v>
      </c>
      <c r="F103" s="69" t="s">
        <v>171</v>
      </c>
      <c r="G103" s="78">
        <f>VLOOKUP(B103,'MEMÓRIA DE CÁLCULO'!$B:$H,7,)</f>
        <v>1</v>
      </c>
      <c r="H103" s="73"/>
      <c r="I103" s="73"/>
      <c r="J103" s="88">
        <f t="shared" si="9"/>
        <v>0</v>
      </c>
      <c r="K103" s="367" t="e">
        <f t="shared" si="7"/>
        <v>#DIV/0!</v>
      </c>
    </row>
    <row r="104" spans="2:11" s="23" customFormat="1" ht="15">
      <c r="B104" s="86" t="s">
        <v>284</v>
      </c>
      <c r="C104" s="68" t="s">
        <v>545</v>
      </c>
      <c r="D104" s="68">
        <f>VLOOKUP(B104,'MEMÓRIA DE CÁLCULO'!$B:$H,2,)</f>
        <v>81326</v>
      </c>
      <c r="E104" s="71" t="str">
        <f>VLOOKUP(B104,'MEMÓRIA DE CÁLCULO'!$B:$H,3,)</f>
        <v>JOELHO 90 GRAUS DIÂMETRO 75 MM</v>
      </c>
      <c r="F104" s="69" t="s">
        <v>171</v>
      </c>
      <c r="G104" s="78">
        <f>VLOOKUP(B104,'MEMÓRIA DE CÁLCULO'!$B:$H,7,)</f>
        <v>8</v>
      </c>
      <c r="H104" s="73"/>
      <c r="I104" s="73"/>
      <c r="J104" s="88">
        <f t="shared" si="9"/>
        <v>0</v>
      </c>
      <c r="K104" s="367" t="e">
        <f t="shared" si="7"/>
        <v>#DIV/0!</v>
      </c>
    </row>
    <row r="105" spans="2:11" s="23" customFormat="1" ht="15">
      <c r="B105" s="86" t="s">
        <v>286</v>
      </c>
      <c r="C105" s="68" t="s">
        <v>545</v>
      </c>
      <c r="D105" s="68" t="str">
        <f>VLOOKUP(B105,'MEMÓRIA DE CÁLCULO'!$B:$H,2,)</f>
        <v>H244</v>
      </c>
      <c r="E105" s="71" t="str">
        <f>VLOOKUP(B105,'MEMÓRIA DE CÁLCULO'!$B:$H,3,)</f>
        <v>TUBO SOLDAVEL PVC MARROM DIAM. 50 MM</v>
      </c>
      <c r="F105" s="69" t="s">
        <v>171</v>
      </c>
      <c r="G105" s="78">
        <f>VLOOKUP(B105,'MEMÓRIA DE CÁLCULO'!$B:$H,7,)</f>
        <v>9</v>
      </c>
      <c r="H105" s="73"/>
      <c r="I105" s="73"/>
      <c r="J105" s="88">
        <f t="shared" si="9"/>
        <v>0</v>
      </c>
      <c r="K105" s="367" t="e">
        <f t="shared" si="7"/>
        <v>#DIV/0!</v>
      </c>
    </row>
    <row r="106" spans="2:11" s="23" customFormat="1" ht="15">
      <c r="B106" s="86" t="s">
        <v>289</v>
      </c>
      <c r="C106" s="68" t="s">
        <v>545</v>
      </c>
      <c r="D106" s="68" t="str">
        <f>VLOOKUP(B106,'MEMÓRIA DE CÁLCULO'!$B:$H,2,)</f>
        <v>81424</v>
      </c>
      <c r="E106" s="71" t="str">
        <f>VLOOKUP(B106,'MEMÓRIA DE CÁLCULO'!$B:$H,3,)</f>
        <v xml:space="preserve">TE REDUÇÃO 90 GRAUS SOLDÁVEL 50 X 25 mm    </v>
      </c>
      <c r="F106" s="69" t="s">
        <v>171</v>
      </c>
      <c r="G106" s="78">
        <f>VLOOKUP(B106,'MEMÓRIA DE CÁLCULO'!$B:$H,7,)</f>
        <v>1</v>
      </c>
      <c r="H106" s="73"/>
      <c r="I106" s="73"/>
      <c r="J106" s="88">
        <f t="shared" si="9"/>
        <v>0</v>
      </c>
      <c r="K106" s="367" t="e">
        <f t="shared" si="7"/>
        <v>#DIV/0!</v>
      </c>
    </row>
    <row r="107" spans="2:11" s="23" customFormat="1" ht="15">
      <c r="B107" s="86" t="s">
        <v>292</v>
      </c>
      <c r="C107" s="68" t="s">
        <v>545</v>
      </c>
      <c r="D107" s="68" t="str">
        <f>VLOOKUP(B107,'MEMÓRIA DE CÁLCULO'!$B:$H,2,)</f>
        <v>H221</v>
      </c>
      <c r="E107" s="71" t="str">
        <f>VLOOKUP(B107,'MEMÓRIA DE CÁLCULO'!$B:$H,3,)</f>
        <v>TE 90 GRAUS SOLDÁVEL DIÂMETRO 25 mm</v>
      </c>
      <c r="F107" s="69" t="s">
        <v>171</v>
      </c>
      <c r="G107" s="78">
        <f>VLOOKUP(B107,'MEMÓRIA DE CÁLCULO'!$B:$H,7,)</f>
        <v>7</v>
      </c>
      <c r="H107" s="73"/>
      <c r="I107" s="73"/>
      <c r="J107" s="88">
        <f t="shared" si="9"/>
        <v>0</v>
      </c>
      <c r="K107" s="367" t="e">
        <f t="shared" si="7"/>
        <v>#DIV/0!</v>
      </c>
    </row>
    <row r="108" spans="2:11" s="23" customFormat="1" ht="15">
      <c r="B108" s="86" t="s">
        <v>295</v>
      </c>
      <c r="C108" s="68" t="s">
        <v>545</v>
      </c>
      <c r="D108" s="68" t="str">
        <f>VLOOKUP(B108,'MEMÓRIA DE CÁLCULO'!$B:$H,2,)</f>
        <v>81326</v>
      </c>
      <c r="E108" s="71" t="str">
        <f>VLOOKUP(B108,'MEMÓRIA DE CÁLCULO'!$B:$H,3,)</f>
        <v>JOELHO 90 GRAUS SOLDÁVEL DIÂMETRO 75 MM</v>
      </c>
      <c r="F108" s="69" t="s">
        <v>171</v>
      </c>
      <c r="G108" s="78">
        <f>VLOOKUP(B108,'MEMÓRIA DE CÁLCULO'!$B:$H,7,)</f>
        <v>8</v>
      </c>
      <c r="H108" s="73"/>
      <c r="I108" s="73"/>
      <c r="J108" s="88">
        <f t="shared" si="9"/>
        <v>0</v>
      </c>
      <c r="K108" s="367" t="e">
        <f t="shared" si="7"/>
        <v>#DIV/0!</v>
      </c>
    </row>
    <row r="109" spans="2:11" s="23" customFormat="1" ht="15">
      <c r="B109" s="86" t="s">
        <v>298</v>
      </c>
      <c r="C109" s="68" t="s">
        <v>545</v>
      </c>
      <c r="D109" s="68" t="str">
        <f>VLOOKUP(B109,'MEMÓRIA DE CÁLCULO'!$B:$H,2,)</f>
        <v>H248</v>
      </c>
      <c r="E109" s="71" t="str">
        <f>VLOOKUP(B109,'MEMÓRIA DE CÁLCULO'!$B:$H,3,)</f>
        <v>TUBO SOLDAVEL PVC MARROM DIAM. 25 MM</v>
      </c>
      <c r="F109" s="69" t="s">
        <v>171</v>
      </c>
      <c r="G109" s="78">
        <f>VLOOKUP(B109,'MEMÓRIA DE CÁLCULO'!$B:$H,7,)</f>
        <v>15.35</v>
      </c>
      <c r="H109" s="73"/>
      <c r="I109" s="73"/>
      <c r="J109" s="88">
        <f t="shared" si="9"/>
        <v>0</v>
      </c>
      <c r="K109" s="367" t="e">
        <f t="shared" si="7"/>
        <v>#DIV/0!</v>
      </c>
    </row>
    <row r="110" spans="2:11" s="23" customFormat="1" ht="15">
      <c r="B110" s="86" t="s">
        <v>301</v>
      </c>
      <c r="C110" s="68" t="s">
        <v>545</v>
      </c>
      <c r="D110" s="68" t="str">
        <f>VLOOKUP(B110,'MEMÓRIA DE CÁLCULO'!$B:$H,2,)</f>
        <v>H246</v>
      </c>
      <c r="E110" s="71" t="str">
        <f>VLOOKUP(B110,'MEMÓRIA DE CÁLCULO'!$B:$H,3,)</f>
        <v>TUBO SOLDAVEL PVC MARROM DIAM. 75 MM</v>
      </c>
      <c r="F110" s="69" t="s">
        <v>171</v>
      </c>
      <c r="G110" s="78">
        <f>VLOOKUP(B110,'MEMÓRIA DE CÁLCULO'!$B:$H,7,)</f>
        <v>31.61</v>
      </c>
      <c r="H110" s="73"/>
      <c r="I110" s="73"/>
      <c r="J110" s="88">
        <f t="shared" si="9"/>
        <v>0</v>
      </c>
      <c r="K110" s="367" t="e">
        <f t="shared" si="7"/>
        <v>#DIV/0!</v>
      </c>
    </row>
    <row r="111" spans="2:11" s="23" customFormat="1" ht="15">
      <c r="B111" s="86" t="s">
        <v>304</v>
      </c>
      <c r="C111" s="68" t="s">
        <v>545</v>
      </c>
      <c r="D111" s="68" t="str">
        <f>VLOOKUP(B111,'MEMÓRIA DE CÁLCULO'!$B:$H,2,)</f>
        <v>H336</v>
      </c>
      <c r="E111" s="71" t="str">
        <f>VLOOKUP(B111,'MEMÓRIA DE CÁLCULO'!$B:$H,3,)</f>
        <v>CORPO CAIXA SIFONADA 150 X 150 X 50 MM</v>
      </c>
      <c r="F111" s="69" t="s">
        <v>171</v>
      </c>
      <c r="G111" s="78">
        <f>VLOOKUP(B111,'MEMÓRIA DE CÁLCULO'!$B:$H,7,)</f>
        <v>2</v>
      </c>
      <c r="H111" s="73"/>
      <c r="I111" s="73"/>
      <c r="J111" s="88">
        <f t="shared" si="9"/>
        <v>0</v>
      </c>
      <c r="K111" s="367" t="e">
        <f t="shared" si="7"/>
        <v>#DIV/0!</v>
      </c>
    </row>
    <row r="112" spans="2:11" s="23" customFormat="1" ht="15">
      <c r="B112" s="86" t="s">
        <v>307</v>
      </c>
      <c r="C112" s="68" t="s">
        <v>545</v>
      </c>
      <c r="D112" s="68" t="str">
        <f>VLOOKUP(B112,'MEMÓRIA DE CÁLCULO'!$B:$H,2,)</f>
        <v>H164</v>
      </c>
      <c r="E112" s="71" t="str">
        <f>VLOOKUP(B112,'MEMÓRIA DE CÁLCULO'!$B:$H,3,)</f>
        <v>JOELHO 90 GRAUS SOLDÁVEL DIÂMETRO 25 MM</v>
      </c>
      <c r="F112" s="69" t="s">
        <v>177</v>
      </c>
      <c r="G112" s="78">
        <f>VLOOKUP(B112,'MEMÓRIA DE CÁLCULO'!$B:$H,7,)</f>
        <v>4</v>
      </c>
      <c r="H112" s="73"/>
      <c r="I112" s="73"/>
      <c r="J112" s="88">
        <f t="shared" si="9"/>
        <v>0</v>
      </c>
      <c r="K112" s="367" t="e">
        <f t="shared" si="7"/>
        <v>#DIV/0!</v>
      </c>
    </row>
    <row r="113" spans="2:11" s="23" customFormat="1" ht="15">
      <c r="B113" s="86" t="s">
        <v>310</v>
      </c>
      <c r="C113" s="68" t="s">
        <v>545</v>
      </c>
      <c r="D113" s="68" t="str">
        <f>VLOOKUP(B113,'MEMÓRIA DE CÁLCULO'!$B:$H,2,)</f>
        <v>H311</v>
      </c>
      <c r="E113" s="71" t="str">
        <f>VLOOKUP(B113,'MEMÓRIA DE CÁLCULO'!$B:$H,3,)</f>
        <v>LUVA SOLDAVEL COM ROSCA 25 X 3/4"</v>
      </c>
      <c r="F113" s="69" t="s">
        <v>177</v>
      </c>
      <c r="G113" s="78">
        <f>VLOOKUP(B113,'MEMÓRIA DE CÁLCULO'!$B:$H,7,)</f>
        <v>2</v>
      </c>
      <c r="H113" s="73"/>
      <c r="I113" s="73"/>
      <c r="J113" s="88">
        <f t="shared" si="9"/>
        <v>0</v>
      </c>
      <c r="K113" s="367" t="e">
        <f t="shared" si="7"/>
        <v>#DIV/0!</v>
      </c>
    </row>
    <row r="114" spans="2:11" s="23" customFormat="1" ht="15">
      <c r="B114" s="86" t="s">
        <v>313</v>
      </c>
      <c r="C114" s="68" t="s">
        <v>545</v>
      </c>
      <c r="D114" s="68" t="str">
        <f>VLOOKUP(B114,'MEMÓRIA DE CÁLCULO'!$B:$H,2,)</f>
        <v>COMPOSIÇÃO 5</v>
      </c>
      <c r="E114" s="71" t="str">
        <f>VLOOKUP(B114,'MEMÓRIA DE CÁLCULO'!$B:$H,3,)</f>
        <v>DUCHA HIGIÊNICA</v>
      </c>
      <c r="F114" s="69" t="s">
        <v>177</v>
      </c>
      <c r="G114" s="78">
        <f>VLOOKUP(B114,'MEMÓRIA DE CÁLCULO'!$B:$H,7,)</f>
        <v>3</v>
      </c>
      <c r="H114" s="73"/>
      <c r="I114" s="73"/>
      <c r="J114" s="88">
        <f t="shared" si="9"/>
        <v>0</v>
      </c>
      <c r="K114" s="367" t="e">
        <f t="shared" ref="K114:K136" si="10">(J114*100%)/$J$218</f>
        <v>#DIV/0!</v>
      </c>
    </row>
    <row r="115" spans="2:11" s="23" customFormat="1" ht="15">
      <c r="B115" s="86" t="s">
        <v>317</v>
      </c>
      <c r="C115" s="68" t="s">
        <v>545</v>
      </c>
      <c r="D115" s="68" t="str">
        <f>VLOOKUP(B115,'MEMÓRIA DE CÁLCULO'!$B:$H,2,)</f>
        <v>81375</v>
      </c>
      <c r="E115" s="71" t="str">
        <f>VLOOKUP(B115,'MEMÓRIA DE CÁLCULO'!$B:$H,3,)</f>
        <v>JOELHO DE REDUÇÃO 90 GRAUS COM ROSCA E BUCHA LATÃO 3/4 "X 1/2"</v>
      </c>
      <c r="F115" s="69" t="s">
        <v>171</v>
      </c>
      <c r="G115" s="78">
        <f>VLOOKUP(B115,'MEMÓRIA DE CÁLCULO'!$B:$H,7,)</f>
        <v>11</v>
      </c>
      <c r="H115" s="73"/>
      <c r="I115" s="73"/>
      <c r="J115" s="88">
        <f t="shared" si="9"/>
        <v>0</v>
      </c>
      <c r="K115" s="367" t="e">
        <f t="shared" si="10"/>
        <v>#DIV/0!</v>
      </c>
    </row>
    <row r="116" spans="2:11" s="23" customFormat="1" ht="15">
      <c r="B116" s="86" t="s">
        <v>321</v>
      </c>
      <c r="C116" s="68" t="s">
        <v>545</v>
      </c>
      <c r="D116" s="68" t="str">
        <f>VLOOKUP(B116,'MEMÓRIA DE CÁLCULO'!$B:$H,2,)</f>
        <v>81066</v>
      </c>
      <c r="E116" s="71" t="str">
        <f>VLOOKUP(B116,'MEMÓRIA DE CÁLCULO'!$B:$H,3,)</f>
        <v>ADAPTADOR SOLDÁVEL CURTO C/ BOLSA E ROSCA PARA REGISTRO 25X3/4</v>
      </c>
      <c r="F116" s="69" t="s">
        <v>171</v>
      </c>
      <c r="G116" s="78">
        <f>VLOOKUP(B116,'MEMÓRIA DE CÁLCULO'!$B:$H,7,)</f>
        <v>6</v>
      </c>
      <c r="H116" s="73"/>
      <c r="I116" s="73"/>
      <c r="J116" s="88">
        <f t="shared" si="9"/>
        <v>0</v>
      </c>
      <c r="K116" s="367" t="e">
        <f t="shared" si="10"/>
        <v>#DIV/0!</v>
      </c>
    </row>
    <row r="117" spans="2:11" s="23" customFormat="1" ht="15">
      <c r="B117" s="86" t="s">
        <v>325</v>
      </c>
      <c r="C117" s="68" t="s">
        <v>545</v>
      </c>
      <c r="D117" s="68">
        <f>VLOOKUP(B117,'MEMÓRIA DE CÁLCULO'!$B:$H,2,)</f>
        <v>82301</v>
      </c>
      <c r="E117" s="71" t="str">
        <f>VLOOKUP(B117,'MEMÓRIA DE CÁLCULO'!$B:$H,3,)</f>
        <v>TUBO SOLD.P/ESGOTO DIÂM. 40 MM</v>
      </c>
      <c r="F117" s="69" t="s">
        <v>171</v>
      </c>
      <c r="G117" s="78">
        <f>VLOOKUP(B117,'MEMÓRIA DE CÁLCULO'!$B:$H,7,)</f>
        <v>9</v>
      </c>
      <c r="H117" s="73"/>
      <c r="I117" s="73"/>
      <c r="J117" s="88">
        <f t="shared" si="9"/>
        <v>0</v>
      </c>
      <c r="K117" s="367" t="e">
        <f t="shared" si="10"/>
        <v>#DIV/0!</v>
      </c>
    </row>
    <row r="118" spans="2:11" s="23" customFormat="1" ht="15">
      <c r="B118" s="86" t="s">
        <v>327</v>
      </c>
      <c r="C118" s="68" t="s">
        <v>545</v>
      </c>
      <c r="D118" s="68">
        <f>VLOOKUP(B118,'MEMÓRIA DE CÁLCULO'!$B:$H,2,)</f>
        <v>82302</v>
      </c>
      <c r="E118" s="71" t="str">
        <f>VLOOKUP(B118,'MEMÓRIA DE CÁLCULO'!$B:$H,3,)</f>
        <v>TUBO SOLD. P/ESGOTO DIÂM. 50 MM</v>
      </c>
      <c r="F118" s="69" t="s">
        <v>171</v>
      </c>
      <c r="G118" s="78">
        <f>VLOOKUP(B118,'MEMÓRIA DE CÁLCULO'!$B:$H,7,)</f>
        <v>9</v>
      </c>
      <c r="H118" s="73"/>
      <c r="I118" s="73"/>
      <c r="J118" s="88">
        <f t="shared" si="9"/>
        <v>0</v>
      </c>
      <c r="K118" s="367" t="e">
        <f t="shared" si="10"/>
        <v>#DIV/0!</v>
      </c>
    </row>
    <row r="119" spans="2:11" s="23" customFormat="1" ht="15">
      <c r="B119" s="86"/>
      <c r="C119" s="68"/>
      <c r="D119" s="68"/>
      <c r="E119" s="71"/>
      <c r="F119" s="69"/>
      <c r="G119" s="78"/>
      <c r="H119" s="73"/>
      <c r="I119" s="73"/>
      <c r="J119" s="300"/>
      <c r="K119" s="367" t="e">
        <f t="shared" si="10"/>
        <v>#DIV/0!</v>
      </c>
    </row>
    <row r="120" spans="2:11" ht="15">
      <c r="B120" s="664" t="s">
        <v>556</v>
      </c>
      <c r="C120" s="665"/>
      <c r="D120" s="665"/>
      <c r="E120" s="665"/>
      <c r="F120" s="665"/>
      <c r="G120" s="665"/>
      <c r="H120" s="665"/>
      <c r="I120" s="666"/>
      <c r="J120" s="301">
        <f>SUM(J121:J137)</f>
        <v>0</v>
      </c>
      <c r="K120" s="367" t="e">
        <f t="shared" si="10"/>
        <v>#DIV/0!</v>
      </c>
    </row>
    <row r="121" spans="2:11" ht="15">
      <c r="B121" s="86" t="s">
        <v>329</v>
      </c>
      <c r="C121" s="68" t="s">
        <v>545</v>
      </c>
      <c r="D121" s="68">
        <f>VLOOKUP(B121,'MEMÓRIA DE CÁLCULO'!$B:$H,2,)</f>
        <v>82304</v>
      </c>
      <c r="E121" s="71" t="str">
        <f>VLOOKUP(B121,'MEMÓRIA DE CÁLCULO'!$B:$H,3,)</f>
        <v>TUBO SOLDÁVEL P/ESGOTO DIÂM. 100 MM</v>
      </c>
      <c r="F121" s="69" t="s">
        <v>171</v>
      </c>
      <c r="G121" s="78">
        <f>VLOOKUP(B121,'MEMÓRIA DE CÁLCULO'!$B:$H,7,)</f>
        <v>9</v>
      </c>
      <c r="H121" s="73"/>
      <c r="I121" s="73"/>
      <c r="J121" s="187">
        <f t="shared" ref="J121:J128" si="11">(I121+H121)*G121</f>
        <v>0</v>
      </c>
      <c r="K121" s="367" t="e">
        <f t="shared" si="10"/>
        <v>#DIV/0!</v>
      </c>
    </row>
    <row r="122" spans="2:11" ht="15">
      <c r="B122" s="86" t="s">
        <v>331</v>
      </c>
      <c r="C122" s="68" t="s">
        <v>545</v>
      </c>
      <c r="D122" s="68">
        <f>VLOOKUP(B122,'MEMÓRIA DE CÁLCULO'!$B:$H,2,)</f>
        <v>81825</v>
      </c>
      <c r="E122" s="71" t="str">
        <f>VLOOKUP(B122,'MEMÓRIA DE CÁLCULO'!$B:$H,3,)</f>
        <v>CAIXA DE PASSAGEM 60 X 60 CM SEM TAMPA</v>
      </c>
      <c r="F122" s="69" t="s">
        <v>177</v>
      </c>
      <c r="G122" s="78">
        <f>VLOOKUP(B122,'MEMÓRIA DE CÁLCULO'!$B:$H,7,)</f>
        <v>1</v>
      </c>
      <c r="H122" s="73"/>
      <c r="I122" s="73"/>
      <c r="J122" s="88">
        <f t="shared" si="11"/>
        <v>0</v>
      </c>
      <c r="K122" s="367" t="e">
        <f t="shared" si="10"/>
        <v>#DIV/0!</v>
      </c>
    </row>
    <row r="123" spans="2:11" ht="15">
      <c r="B123" s="86" t="s">
        <v>333</v>
      </c>
      <c r="C123" s="68" t="s">
        <v>545</v>
      </c>
      <c r="D123" s="68">
        <f>VLOOKUP(B123,'MEMÓRIA DE CÁLCULO'!$B:$H,2,)</f>
        <v>81826</v>
      </c>
      <c r="E123" s="71" t="str">
        <f>VLOOKUP(B123,'MEMÓRIA DE CÁLCULO'!$B:$H,3,)</f>
        <v>TAMPA EM CONCRETO ARMADO 25 MPA E=5CM PARA A CAIXA DE PASSAGEM 60X60CM</v>
      </c>
      <c r="F123" s="69" t="s">
        <v>177</v>
      </c>
      <c r="G123" s="78">
        <f>VLOOKUP(B123,'MEMÓRIA DE CÁLCULO'!$B:$H,7,)</f>
        <v>1</v>
      </c>
      <c r="H123" s="73"/>
      <c r="I123" s="73"/>
      <c r="J123" s="88">
        <f t="shared" si="11"/>
        <v>0</v>
      </c>
      <c r="K123" s="367" t="e">
        <f t="shared" si="10"/>
        <v>#DIV/0!</v>
      </c>
    </row>
    <row r="124" spans="2:11" ht="15">
      <c r="B124" s="86" t="s">
        <v>335</v>
      </c>
      <c r="C124" s="68" t="s">
        <v>545</v>
      </c>
      <c r="D124" s="68">
        <f>VLOOKUP(B124,'MEMÓRIA DE CÁLCULO'!$B:$H,2,)</f>
        <v>81935</v>
      </c>
      <c r="E124" s="71" t="str">
        <f>VLOOKUP(B124,'MEMÓRIA DE CÁLCULO'!$B:$H,3,)</f>
        <v>JOELHO 90 GRAUS DIÂMETRO 40 MM</v>
      </c>
      <c r="F124" s="69" t="s">
        <v>177</v>
      </c>
      <c r="G124" s="78">
        <f>VLOOKUP(B124,'MEMÓRIA DE CÁLCULO'!$B:$H,7,)</f>
        <v>6</v>
      </c>
      <c r="H124" s="73"/>
      <c r="I124" s="73"/>
      <c r="J124" s="88">
        <f t="shared" si="11"/>
        <v>0</v>
      </c>
      <c r="K124" s="367" t="e">
        <f t="shared" si="10"/>
        <v>#DIV/0!</v>
      </c>
    </row>
    <row r="125" spans="2:11" ht="15">
      <c r="B125" s="86" t="s">
        <v>337</v>
      </c>
      <c r="C125" s="68" t="s">
        <v>545</v>
      </c>
      <c r="D125" s="68">
        <f>VLOOKUP(B125,'MEMÓRIA DE CÁLCULO'!$B:$H,2,)</f>
        <v>82201</v>
      </c>
      <c r="E125" s="71" t="str">
        <f>VLOOKUP(B125,'MEMÓRIA DE CÁLCULO'!$B:$H,3,)</f>
        <v>TE 90 GRAUS DIÂMETRO 40 MM - ESGOTO</v>
      </c>
      <c r="F125" s="69" t="s">
        <v>171</v>
      </c>
      <c r="G125" s="78">
        <f>VLOOKUP(B125,'MEMÓRIA DE CÁLCULO'!$B:$H,7,)</f>
        <v>3</v>
      </c>
      <c r="H125" s="73"/>
      <c r="I125" s="73"/>
      <c r="J125" s="88">
        <f t="shared" si="11"/>
        <v>0</v>
      </c>
      <c r="K125" s="367" t="e">
        <f t="shared" si="10"/>
        <v>#DIV/0!</v>
      </c>
    </row>
    <row r="126" spans="2:11" ht="15">
      <c r="B126" s="86" t="s">
        <v>339</v>
      </c>
      <c r="C126" s="68" t="s">
        <v>545</v>
      </c>
      <c r="D126" s="68" t="str">
        <f>VLOOKUP(B126,'MEMÓRIA DE CÁLCULO'!$B:$H,2,)</f>
        <v>81164</v>
      </c>
      <c r="E126" s="71" t="str">
        <f>VLOOKUP(B126,'MEMÓRIA DE CÁLCULO'!$B:$H,3,)</f>
        <v>BUCHA DE REDUÇÃO SOLDÁVEL CURTO 50X40 MM</v>
      </c>
      <c r="F126" s="69" t="s">
        <v>171</v>
      </c>
      <c r="G126" s="78">
        <f>VLOOKUP(B126,'MEMÓRIA DE CÁLCULO'!$B:$H,7,)</f>
        <v>6</v>
      </c>
      <c r="H126" s="73"/>
      <c r="I126" s="73"/>
      <c r="J126" s="88">
        <f t="shared" si="11"/>
        <v>0</v>
      </c>
      <c r="K126" s="367" t="e">
        <f t="shared" si="10"/>
        <v>#DIV/0!</v>
      </c>
    </row>
    <row r="127" spans="2:11" ht="15">
      <c r="B127" s="86" t="s">
        <v>342</v>
      </c>
      <c r="C127" s="68" t="s">
        <v>545</v>
      </c>
      <c r="D127" s="68">
        <f>VLOOKUP(B127,'MEMÓRIA DE CÁLCULO'!$B:$H,2,)</f>
        <v>81701</v>
      </c>
      <c r="E127" s="71" t="str">
        <f>VLOOKUP(B127,'MEMÓRIA DE CÁLCULO'!$B:$H,3,)</f>
        <v>CURVA 45 GRAUS DIÂMETRO 40 MM</v>
      </c>
      <c r="F127" s="69" t="s">
        <v>171</v>
      </c>
      <c r="G127" s="78">
        <f>VLOOKUP(B127,'MEMÓRIA DE CÁLCULO'!$B:$H,7,)</f>
        <v>2</v>
      </c>
      <c r="H127" s="73"/>
      <c r="I127" s="73"/>
      <c r="J127" s="88">
        <f t="shared" si="11"/>
        <v>0</v>
      </c>
      <c r="K127" s="367" t="e">
        <f t="shared" si="10"/>
        <v>#DIV/0!</v>
      </c>
    </row>
    <row r="128" spans="2:11" ht="15">
      <c r="B128" s="86" t="s">
        <v>344</v>
      </c>
      <c r="C128" s="156" t="s">
        <v>545</v>
      </c>
      <c r="D128" s="68">
        <f>VLOOKUP(B128,'MEMÓRIA DE CÁLCULO'!$B:$H,2,)</f>
        <v>81702</v>
      </c>
      <c r="E128" s="71" t="str">
        <f>VLOOKUP(B128,'MEMÓRIA DE CÁLCULO'!$B:$H,3,)</f>
        <v>CURVA 45 GRAUS DIÂMETRO 100 MM</v>
      </c>
      <c r="F128" s="158" t="s">
        <v>171</v>
      </c>
      <c r="G128" s="78">
        <f>VLOOKUP(B128,'MEMÓRIA DE CÁLCULO'!$B:$H,7,)</f>
        <v>2</v>
      </c>
      <c r="H128" s="73"/>
      <c r="I128" s="73"/>
      <c r="J128" s="88">
        <f t="shared" si="11"/>
        <v>0</v>
      </c>
      <c r="K128" s="367" t="e">
        <f t="shared" si="10"/>
        <v>#DIV/0!</v>
      </c>
    </row>
    <row r="129" spans="2:11" ht="15">
      <c r="B129" s="86" t="s">
        <v>346</v>
      </c>
      <c r="C129" s="68" t="s">
        <v>545</v>
      </c>
      <c r="D129" s="68">
        <f>VLOOKUP(B129,'MEMÓRIA DE CÁLCULO'!$B:$H,2,)</f>
        <v>81922</v>
      </c>
      <c r="E129" s="71" t="str">
        <f>VLOOKUP(B129,'MEMÓRIA DE CÁLCULO'!$B:$H,3,)</f>
        <v>JOELHO 45 GRAUS DIÂMETRO 50 MM</v>
      </c>
      <c r="F129" s="158" t="s">
        <v>171</v>
      </c>
      <c r="G129" s="78">
        <f>VLOOKUP(B129,'MEMÓRIA DE CÁLCULO'!$B:$H,7,)</f>
        <v>2</v>
      </c>
      <c r="H129" s="73"/>
      <c r="I129" s="73"/>
      <c r="J129" s="88">
        <f t="shared" ref="J129:J136" si="12">(I129+H129)*G129</f>
        <v>0</v>
      </c>
      <c r="K129" s="367" t="e">
        <f t="shared" si="10"/>
        <v>#DIV/0!</v>
      </c>
    </row>
    <row r="130" spans="2:11" ht="15">
      <c r="B130" s="86" t="s">
        <v>348</v>
      </c>
      <c r="C130" s="68" t="s">
        <v>545</v>
      </c>
      <c r="D130" s="68">
        <f>VLOOKUP(B130,'MEMÓRIA DE CÁLCULO'!$B:$H,2,)</f>
        <v>81938</v>
      </c>
      <c r="E130" s="71" t="str">
        <f>VLOOKUP(B130,'MEMÓRIA DE CÁLCULO'!$B:$H,3,)</f>
        <v>JOELHO 90 GRAUS DIÂMETRO 100 MM</v>
      </c>
      <c r="F130" s="158" t="s">
        <v>171</v>
      </c>
      <c r="G130" s="78">
        <f>VLOOKUP(B130,'MEMÓRIA DE CÁLCULO'!$B:$H,7,)</f>
        <v>6</v>
      </c>
      <c r="H130" s="73"/>
      <c r="I130" s="73"/>
      <c r="J130" s="88">
        <f t="shared" si="12"/>
        <v>0</v>
      </c>
      <c r="K130" s="367" t="e">
        <f t="shared" si="10"/>
        <v>#DIV/0!</v>
      </c>
    </row>
    <row r="131" spans="2:11" ht="15">
      <c r="B131" s="86" t="s">
        <v>350</v>
      </c>
      <c r="C131" s="68" t="s">
        <v>545</v>
      </c>
      <c r="D131" s="68" t="str">
        <f>VLOOKUP(B131,'MEMÓRIA DE CÁLCULO'!$B:$H,2,)</f>
        <v>81973</v>
      </c>
      <c r="E131" s="71" t="str">
        <f>VLOOKUP(B131,'MEMÓRIA DE CÁLCULO'!$B:$H,3,)</f>
        <v>JUNÇÃO SIMPLES DIÂM. 100 X 50 MM</v>
      </c>
      <c r="F131" s="158" t="s">
        <v>171</v>
      </c>
      <c r="G131" s="78">
        <f>VLOOKUP(B131,'MEMÓRIA DE CÁLCULO'!$B:$H,7,)</f>
        <v>2</v>
      </c>
      <c r="H131" s="73"/>
      <c r="I131" s="73"/>
      <c r="J131" s="88">
        <f t="shared" si="12"/>
        <v>0</v>
      </c>
      <c r="K131" s="367" t="e">
        <f t="shared" si="10"/>
        <v>#DIV/0!</v>
      </c>
    </row>
    <row r="132" spans="2:11" ht="15">
      <c r="B132" s="86" t="s">
        <v>353</v>
      </c>
      <c r="C132" s="68" t="s">
        <v>545</v>
      </c>
      <c r="D132" s="68" t="str">
        <f>VLOOKUP(B132,'MEMÓRIA DE CÁLCULO'!$B:$H,2,)</f>
        <v>81975</v>
      </c>
      <c r="E132" s="71" t="str">
        <f>VLOOKUP(B132,'MEMÓRIA DE CÁLCULO'!$B:$H,3,)</f>
        <v>JUNÇÃO SIMPLES DIÂM. 100 X 100 MM</v>
      </c>
      <c r="F132" s="69" t="s">
        <v>171</v>
      </c>
      <c r="G132" s="78">
        <f>VLOOKUP(B132,'MEMÓRIA DE CÁLCULO'!$B:$H,7,)</f>
        <v>4</v>
      </c>
      <c r="H132" s="73"/>
      <c r="I132" s="73"/>
      <c r="J132" s="88">
        <f t="shared" si="12"/>
        <v>0</v>
      </c>
      <c r="K132" s="367" t="e">
        <f t="shared" si="10"/>
        <v>#DIV/0!</v>
      </c>
    </row>
    <row r="133" spans="2:11" ht="15">
      <c r="B133" s="86" t="s">
        <v>356</v>
      </c>
      <c r="C133" s="68" t="s">
        <v>545</v>
      </c>
      <c r="D133" s="68">
        <f>VLOOKUP(B133,'MEMÓRIA DE CÁLCULO'!$B:$H,2,)</f>
        <v>81936</v>
      </c>
      <c r="E133" s="71" t="str">
        <f>VLOOKUP(B133,'MEMÓRIA DE CÁLCULO'!$B:$H,3,)</f>
        <v>JOELHO 90 GRAUS DIÂMETRO 50 MM</v>
      </c>
      <c r="F133" s="69" t="s">
        <v>171</v>
      </c>
      <c r="G133" s="78">
        <f>VLOOKUP(B133,'MEMÓRIA DE CÁLCULO'!$B:$H,7,)</f>
        <v>3</v>
      </c>
      <c r="H133" s="73"/>
      <c r="I133" s="73"/>
      <c r="J133" s="88">
        <f t="shared" si="12"/>
        <v>0</v>
      </c>
      <c r="K133" s="367" t="e">
        <f t="shared" si="10"/>
        <v>#DIV/0!</v>
      </c>
    </row>
    <row r="134" spans="2:11" ht="15">
      <c r="B134" s="86" t="s">
        <v>358</v>
      </c>
      <c r="C134" s="68" t="s">
        <v>545</v>
      </c>
      <c r="D134" s="68">
        <f>VLOOKUP(B134,'MEMÓRIA DE CÁLCULO'!$B:$H,2,)</f>
        <v>82233</v>
      </c>
      <c r="E134" s="71" t="str">
        <f>VLOOKUP(B134,'MEMÓRIA DE CÁLCULO'!$B:$H,3,)</f>
        <v>TE SANITÁRIO DIÂMETRO 100 X 50 MM</v>
      </c>
      <c r="F134" s="69" t="s">
        <v>171</v>
      </c>
      <c r="G134" s="78">
        <f>VLOOKUP(B134,'MEMÓRIA DE CÁLCULO'!$B:$H,7,)</f>
        <v>4</v>
      </c>
      <c r="H134" s="73"/>
      <c r="I134" s="73"/>
      <c r="J134" s="88">
        <f t="shared" si="12"/>
        <v>0</v>
      </c>
      <c r="K134" s="367" t="e">
        <f t="shared" si="10"/>
        <v>#DIV/0!</v>
      </c>
    </row>
    <row r="135" spans="2:11" ht="15">
      <c r="B135" s="86" t="s">
        <v>360</v>
      </c>
      <c r="C135" s="68" t="s">
        <v>545</v>
      </c>
      <c r="D135" s="68" t="str">
        <f>VLOOKUP(B135,'MEMÓRIA DE CÁLCULO'!$B:$H,2,)</f>
        <v>COMPOSIÇÃO 4</v>
      </c>
      <c r="E135" s="71" t="str">
        <f>VLOOKUP(B135,'MEMÓRIA DE CÁLCULO'!$B:$H,3,)</f>
        <v>VASO SANITÁRIO INFANTIL COM CAIXA ACOPLADA E ASSENTO</v>
      </c>
      <c r="F135" s="69" t="s">
        <v>171</v>
      </c>
      <c r="G135" s="78">
        <f>VLOOKUP(B135,'MEMÓRIA DE CÁLCULO'!$B:$H,7,)</f>
        <v>3</v>
      </c>
      <c r="H135" s="73"/>
      <c r="I135" s="73"/>
      <c r="J135" s="88">
        <f t="shared" si="12"/>
        <v>0</v>
      </c>
      <c r="K135" s="367" t="e">
        <f t="shared" si="10"/>
        <v>#DIV/0!</v>
      </c>
    </row>
    <row r="136" spans="2:11" ht="15">
      <c r="B136" s="86" t="s">
        <v>364</v>
      </c>
      <c r="C136" s="68" t="s">
        <v>545</v>
      </c>
      <c r="D136" s="68" t="str">
        <f>VLOOKUP(B136,'MEMÓRIA DE CÁLCULO'!$B:$H,2,)</f>
        <v>COMPOSIÇÃO 7</v>
      </c>
      <c r="E136" s="71" t="str">
        <f>VLOOKUP(B136,'MEMÓRIA DE CÁLCULO'!$B:$H,3,)</f>
        <v>CAIXA COM GRELHA RETANGULAR DE FERRO FUNDIDO, DIMENSÕES INTERNAS: 0,15 X 1,00 X 0,3 M, INCLUSO CANALETA</v>
      </c>
      <c r="F136" s="69" t="s">
        <v>171</v>
      </c>
      <c r="G136" s="78">
        <f>VLOOKUP(B136,'MEMÓRIA DE CÁLCULO'!$B:$H,7,)</f>
        <v>1</v>
      </c>
      <c r="H136" s="73"/>
      <c r="I136" s="73"/>
      <c r="J136" s="88">
        <f t="shared" si="12"/>
        <v>0</v>
      </c>
      <c r="K136" s="367" t="e">
        <f t="shared" si="10"/>
        <v>#DIV/0!</v>
      </c>
    </row>
    <row r="137" spans="2:11" s="7" customFormat="1" ht="15">
      <c r="B137" s="86"/>
      <c r="C137" s="68"/>
      <c r="D137" s="68"/>
      <c r="E137" s="71"/>
      <c r="F137" s="69"/>
      <c r="G137" s="78"/>
      <c r="H137" s="73"/>
      <c r="I137" s="73"/>
      <c r="J137" s="300"/>
      <c r="K137" s="367" t="e">
        <f t="shared" ref="K137:K149" si="13">(J137*100%)/$J$218</f>
        <v>#DIV/0!</v>
      </c>
    </row>
    <row r="138" spans="2:11" ht="15">
      <c r="B138" s="664" t="s">
        <v>367</v>
      </c>
      <c r="C138" s="665"/>
      <c r="D138" s="665"/>
      <c r="E138" s="665"/>
      <c r="F138" s="665"/>
      <c r="G138" s="665"/>
      <c r="H138" s="665"/>
      <c r="I138" s="666"/>
      <c r="J138" s="301">
        <f>SUM(J139:J144)</f>
        <v>0</v>
      </c>
      <c r="K138" s="367" t="e">
        <f t="shared" si="13"/>
        <v>#DIV/0!</v>
      </c>
    </row>
    <row r="139" spans="2:11" s="7" customFormat="1" ht="15">
      <c r="B139" s="155" t="s">
        <v>368</v>
      </c>
      <c r="C139" s="68" t="s">
        <v>545</v>
      </c>
      <c r="D139" s="68" t="str">
        <f>VLOOKUP(B139,'MEMÓRIA DE CÁLCULO'!$B:$H,2,)</f>
        <v>COMPOSIÇÃO 1</v>
      </c>
      <c r="E139" s="71" t="str">
        <f>VLOOKUP(B139,'MEMÓRIA DE CÁLCULO'!$B:$H,3,)</f>
        <v>RALO ABACAXI 100 MM 4''</v>
      </c>
      <c r="F139" s="69" t="s">
        <v>171</v>
      </c>
      <c r="G139" s="78">
        <f>VLOOKUP(B139,'MEMÓRIA DE CÁLCULO'!$B:$H,7,)</f>
        <v>3</v>
      </c>
      <c r="H139" s="73"/>
      <c r="I139" s="73"/>
      <c r="J139" s="187">
        <f t="shared" ref="J139:J143" si="14">(I139+H139)*G139</f>
        <v>0</v>
      </c>
      <c r="K139" s="367" t="e">
        <f t="shared" si="13"/>
        <v>#DIV/0!</v>
      </c>
    </row>
    <row r="140" spans="2:11" s="7" customFormat="1" ht="15">
      <c r="B140" s="155" t="s">
        <v>372</v>
      </c>
      <c r="C140" s="68" t="s">
        <v>545</v>
      </c>
      <c r="D140" s="68">
        <f>VLOOKUP(B140,'MEMÓRIA DE CÁLCULO'!$B:$H,2,)</f>
        <v>81938</v>
      </c>
      <c r="E140" s="71" t="str">
        <f>VLOOKUP(B140,'MEMÓRIA DE CÁLCULO'!$B:$H,3,)</f>
        <v>JOELHO 90 GRAUS DIÂMETRO 100 MM</v>
      </c>
      <c r="F140" s="69" t="s">
        <v>171</v>
      </c>
      <c r="G140" s="78">
        <f>VLOOKUP(B140,'MEMÓRIA DE CÁLCULO'!$B:$H,7,)</f>
        <v>6</v>
      </c>
      <c r="H140" s="73"/>
      <c r="I140" s="73"/>
      <c r="J140" s="88">
        <f t="shared" si="14"/>
        <v>0</v>
      </c>
      <c r="K140" s="367" t="e">
        <f t="shared" si="13"/>
        <v>#DIV/0!</v>
      </c>
    </row>
    <row r="141" spans="2:11" s="7" customFormat="1" ht="15">
      <c r="B141" s="155" t="s">
        <v>374</v>
      </c>
      <c r="C141" s="68" t="s">
        <v>545</v>
      </c>
      <c r="D141" s="68">
        <f>VLOOKUP(B141,'MEMÓRIA DE CÁLCULO'!$B:$H,2,)</f>
        <v>82235</v>
      </c>
      <c r="E141" s="71" t="str">
        <f>VLOOKUP(B141,'MEMÓRIA DE CÁLCULO'!$B:$H,3,)</f>
        <v>TE SANITÁRIO DIÂMETRO 100 X 100 MM</v>
      </c>
      <c r="F141" s="69" t="s">
        <v>171</v>
      </c>
      <c r="G141" s="78">
        <f>VLOOKUP(B141,'MEMÓRIA DE CÁLCULO'!$B:$H,7,)</f>
        <v>2</v>
      </c>
      <c r="H141" s="73"/>
      <c r="I141" s="73"/>
      <c r="J141" s="88">
        <f t="shared" si="14"/>
        <v>0</v>
      </c>
      <c r="K141" s="367" t="e">
        <f t="shared" si="13"/>
        <v>#DIV/0!</v>
      </c>
    </row>
    <row r="142" spans="2:11" s="7" customFormat="1" ht="15">
      <c r="B142" s="155" t="s">
        <v>376</v>
      </c>
      <c r="C142" s="68" t="s">
        <v>545</v>
      </c>
      <c r="D142" s="68">
        <f>VLOOKUP(B142,'MEMÓRIA DE CÁLCULO'!$B:$H,2,)</f>
        <v>82004</v>
      </c>
      <c r="E142" s="71" t="str">
        <f>VLOOKUP(B142,'MEMÓRIA DE CÁLCULO'!$B:$H,3,)</f>
        <v>LUVA SIMPLES DIÂM. 100 MM</v>
      </c>
      <c r="F142" s="69" t="s">
        <v>171</v>
      </c>
      <c r="G142" s="78">
        <f>VLOOKUP(B142,'MEMÓRIA DE CÁLCULO'!$B:$H,7,)</f>
        <v>2</v>
      </c>
      <c r="H142" s="73"/>
      <c r="I142" s="73"/>
      <c r="J142" s="88">
        <f t="shared" si="14"/>
        <v>0</v>
      </c>
      <c r="K142" s="367" t="e">
        <f t="shared" si="13"/>
        <v>#DIV/0!</v>
      </c>
    </row>
    <row r="143" spans="2:11" s="7" customFormat="1" ht="15">
      <c r="B143" s="155" t="s">
        <v>378</v>
      </c>
      <c r="C143" s="68" t="s">
        <v>545</v>
      </c>
      <c r="D143" s="68">
        <f>VLOOKUP(B143,'MEMÓRIA DE CÁLCULO'!$B:$H,2,)</f>
        <v>82304</v>
      </c>
      <c r="E143" s="71" t="str">
        <f>VLOOKUP(B143,'MEMÓRIA DE CÁLCULO'!$B:$H,3,)</f>
        <v>TUBO SOLDÁVEL P/ESGOTO DIÂM. 100 MM</v>
      </c>
      <c r="F143" s="69" t="s">
        <v>171</v>
      </c>
      <c r="G143" s="78">
        <f>VLOOKUP(B143,'MEMÓRIA DE CÁLCULO'!$B:$H,7,)</f>
        <v>9</v>
      </c>
      <c r="H143" s="73"/>
      <c r="I143" s="73"/>
      <c r="J143" s="88">
        <f t="shared" si="14"/>
        <v>0</v>
      </c>
      <c r="K143" s="367" t="e">
        <f t="shared" si="13"/>
        <v>#DIV/0!</v>
      </c>
    </row>
    <row r="144" spans="2:11" s="7" customFormat="1" ht="15">
      <c r="B144" s="161"/>
      <c r="C144" s="79"/>
      <c r="D144" s="79"/>
      <c r="E144" s="494"/>
      <c r="F144" s="69"/>
      <c r="G144" s="78"/>
      <c r="H144" s="73"/>
      <c r="I144" s="73"/>
      <c r="J144" s="187"/>
      <c r="K144" s="367" t="e">
        <f t="shared" si="13"/>
        <v>#DIV/0!</v>
      </c>
    </row>
    <row r="145" spans="2:11" ht="15">
      <c r="B145" s="667" t="s">
        <v>557</v>
      </c>
      <c r="C145" s="668"/>
      <c r="D145" s="668"/>
      <c r="E145" s="668"/>
      <c r="F145" s="668"/>
      <c r="G145" s="668"/>
      <c r="H145" s="668"/>
      <c r="I145" s="669"/>
      <c r="J145" s="49">
        <f>SUM(J147:J149)</f>
        <v>0</v>
      </c>
      <c r="K145" s="367" t="e">
        <f t="shared" si="13"/>
        <v>#DIV/0!</v>
      </c>
    </row>
    <row r="146" spans="2:11" ht="15">
      <c r="B146" s="22">
        <v>8</v>
      </c>
      <c r="C146" s="670" t="s">
        <v>558</v>
      </c>
      <c r="D146" s="670"/>
      <c r="E146" s="670"/>
      <c r="F146" s="670"/>
      <c r="G146" s="670"/>
      <c r="H146" s="670"/>
      <c r="I146" s="670"/>
      <c r="J146" s="671"/>
      <c r="K146" s="367" t="e">
        <f t="shared" si="13"/>
        <v>#DIV/0!</v>
      </c>
    </row>
    <row r="147" spans="2:11" ht="15.75">
      <c r="B147" s="86" t="s">
        <v>383</v>
      </c>
      <c r="C147" s="68" t="s">
        <v>545</v>
      </c>
      <c r="D147" s="68">
        <f>VLOOKUP(B147,'MEMÓRIA DE CÁLCULO'!B:H,2,)</f>
        <v>100160</v>
      </c>
      <c r="E147" s="71" t="str">
        <f>VLOOKUP(B147,'MEMÓRIA DE CÁLCULO'!$B:$H,3,)</f>
        <v>ALVENARIA DE TIJOLO FURADO 1/2 VEZ 14X29X9 - 6 FUROS - ARG. (1CALH:4ARML+100KG DE CI/M3)</v>
      </c>
      <c r="F147" s="69" t="s">
        <v>17</v>
      </c>
      <c r="G147" s="69">
        <f>VLOOKUP(B147,'MEMÓRIA DE CÁLCULO'!B:H,7,)</f>
        <v>722.94</v>
      </c>
      <c r="H147" s="386"/>
      <c r="I147" s="74"/>
      <c r="J147" s="88">
        <f>(I147+H147)*G147</f>
        <v>0</v>
      </c>
      <c r="K147" s="533" t="e">
        <f t="shared" si="13"/>
        <v>#DIV/0!</v>
      </c>
    </row>
    <row r="148" spans="2:11" ht="15">
      <c r="B148" s="86" t="s">
        <v>390</v>
      </c>
      <c r="C148" s="68" t="s">
        <v>545</v>
      </c>
      <c r="D148" s="68">
        <f>VLOOKUP(B148,'MEMÓRIA DE CÁLCULO'!B:H,2,)</f>
        <v>100320</v>
      </c>
      <c r="E148" s="71" t="str">
        <f>VLOOKUP(B148,'MEMÓRIA DE CÁLCULO'!$B:$H,3,)</f>
        <v>DIVISÓRIA DE GRANITO POLIDO</v>
      </c>
      <c r="F148" s="69" t="s">
        <v>17</v>
      </c>
      <c r="G148" s="69">
        <f>VLOOKUP(B148,'MEMÓRIA DE CÁLCULO'!B:H,7,)</f>
        <v>1.62</v>
      </c>
      <c r="H148" s="386"/>
      <c r="I148" s="74"/>
      <c r="J148" s="88">
        <f>(I148+H148)*G148</f>
        <v>0</v>
      </c>
      <c r="K148" s="367" t="e">
        <f t="shared" si="13"/>
        <v>#DIV/0!</v>
      </c>
    </row>
    <row r="149" spans="2:11" ht="15">
      <c r="B149" s="86" t="s">
        <v>393</v>
      </c>
      <c r="C149" s="68" t="s">
        <v>545</v>
      </c>
      <c r="D149" s="68">
        <f>VLOOKUP(B149,'MEMÓRIA DE CÁLCULO'!B:H,2,)</f>
        <v>100502</v>
      </c>
      <c r="E149" s="71" t="str">
        <f>VLOOKUP(B149,'MEMÓRIA DE CÁLCULO'!$B:$H,3,)</f>
        <v>ELEMENTO VAZADO CERÂMICO (6 x 18 x 18)</v>
      </c>
      <c r="F149" s="69" t="s">
        <v>17</v>
      </c>
      <c r="G149" s="69">
        <f>VLOOKUP(B149,'MEMÓRIA DE CÁLCULO'!B:H,7,)</f>
        <v>9.6000000000000014</v>
      </c>
      <c r="H149" s="386"/>
      <c r="I149" s="74"/>
      <c r="J149" s="88">
        <f>(I149+H149)*G149</f>
        <v>0</v>
      </c>
      <c r="K149" s="367" t="e">
        <f t="shared" si="13"/>
        <v>#DIV/0!</v>
      </c>
    </row>
    <row r="150" spans="2:11" ht="15">
      <c r="B150" s="26"/>
      <c r="D150" s="235"/>
      <c r="E150" s="113"/>
      <c r="H150" s="44"/>
      <c r="I150" s="44"/>
      <c r="J150" s="121"/>
      <c r="K150" s="367" t="e">
        <f t="shared" ref="K150:K165" si="15">(J150*100%)/$J$218</f>
        <v>#DIV/0!</v>
      </c>
    </row>
    <row r="151" spans="2:11" ht="15">
      <c r="B151" s="667" t="s">
        <v>559</v>
      </c>
      <c r="C151" s="668"/>
      <c r="D151" s="668"/>
      <c r="E151" s="668"/>
      <c r="F151" s="668"/>
      <c r="G151" s="668"/>
      <c r="H151" s="668"/>
      <c r="I151" s="669"/>
      <c r="J151" s="49">
        <f>SUM(J153:J154)</f>
        <v>0</v>
      </c>
      <c r="K151" s="367" t="e">
        <f t="shared" si="15"/>
        <v>#DIV/0!</v>
      </c>
    </row>
    <row r="152" spans="2:11" ht="15">
      <c r="B152" s="22">
        <v>9</v>
      </c>
      <c r="C152" s="670" t="s">
        <v>398</v>
      </c>
      <c r="D152" s="670"/>
      <c r="E152" s="670"/>
      <c r="F152" s="670"/>
      <c r="G152" s="670"/>
      <c r="H152" s="670"/>
      <c r="I152" s="670"/>
      <c r="J152" s="671"/>
      <c r="K152" s="367" t="e">
        <f t="shared" si="15"/>
        <v>#DIV/0!</v>
      </c>
    </row>
    <row r="153" spans="2:11" ht="15.75">
      <c r="B153" s="155" t="s">
        <v>399</v>
      </c>
      <c r="C153" s="156" t="s">
        <v>545</v>
      </c>
      <c r="D153" s="68">
        <f>VLOOKUP(B153,'MEMÓRIA DE CÁLCULO'!B:H,2,)</f>
        <v>120107</v>
      </c>
      <c r="E153" s="71" t="str">
        <f>VLOOKUP(B153,'MEMÓRIA DE CÁLCULO'!$B:$H,3,)</f>
        <v xml:space="preserve">MANTA ASFÁLTICA TIPO III - B ( 3 MM)    </v>
      </c>
      <c r="F153" s="158" t="s">
        <v>17</v>
      </c>
      <c r="G153" s="69">
        <f>VLOOKUP(B153,'MEMÓRIA DE CÁLCULO'!B:H,7,)</f>
        <v>104.9</v>
      </c>
      <c r="H153" s="95"/>
      <c r="I153" s="159"/>
      <c r="J153" s="160">
        <f>(I153+H153)*G153</f>
        <v>0</v>
      </c>
      <c r="K153" s="530" t="e">
        <f t="shared" si="15"/>
        <v>#DIV/0!</v>
      </c>
    </row>
    <row r="154" spans="2:11" ht="15">
      <c r="B154" s="155" t="s">
        <v>403</v>
      </c>
      <c r="C154" s="68" t="s">
        <v>544</v>
      </c>
      <c r="D154" s="68">
        <v>98562</v>
      </c>
      <c r="E154" s="71" t="s">
        <v>560</v>
      </c>
      <c r="F154" s="69" t="s">
        <v>17</v>
      </c>
      <c r="G154" s="69">
        <v>22.84</v>
      </c>
      <c r="H154" s="74"/>
      <c r="I154" s="81"/>
      <c r="J154" s="89">
        <f>(I154+H154)*G154</f>
        <v>0</v>
      </c>
      <c r="K154" s="367" t="e">
        <f t="shared" si="15"/>
        <v>#DIV/0!</v>
      </c>
    </row>
    <row r="155" spans="2:11" ht="15">
      <c r="B155" s="26"/>
      <c r="D155" s="5"/>
      <c r="E155" s="113"/>
      <c r="H155" s="117"/>
      <c r="I155" s="117"/>
      <c r="J155" s="118"/>
      <c r="K155" s="367" t="e">
        <f t="shared" si="15"/>
        <v>#DIV/0!</v>
      </c>
    </row>
    <row r="156" spans="2:11" ht="15">
      <c r="B156" s="679" t="s">
        <v>561</v>
      </c>
      <c r="C156" s="680"/>
      <c r="D156" s="680"/>
      <c r="E156" s="680"/>
      <c r="F156" s="680"/>
      <c r="G156" s="680"/>
      <c r="H156" s="680"/>
      <c r="I156" s="680"/>
      <c r="J156" s="49">
        <f>SUM(J158:J159)</f>
        <v>0</v>
      </c>
      <c r="K156" s="367" t="e">
        <f t="shared" si="15"/>
        <v>#DIV/0!</v>
      </c>
    </row>
    <row r="157" spans="2:11" ht="15">
      <c r="B157" s="22">
        <v>10</v>
      </c>
      <c r="C157" s="676" t="s">
        <v>562</v>
      </c>
      <c r="D157" s="662"/>
      <c r="E157" s="662"/>
      <c r="F157" s="662"/>
      <c r="G157" s="662"/>
      <c r="H157" s="662"/>
      <c r="I157" s="662"/>
      <c r="J157" s="663"/>
      <c r="K157" s="367" t="e">
        <f t="shared" si="15"/>
        <v>#DIV/0!</v>
      </c>
    </row>
    <row r="158" spans="2:11" ht="15.75">
      <c r="B158" s="86" t="s">
        <v>409</v>
      </c>
      <c r="C158" s="75" t="s">
        <v>545</v>
      </c>
      <c r="D158" s="68">
        <f>VLOOKUP(B158,'MEMÓRIA DE CÁLCULO'!B:H,2,)</f>
        <v>140201</v>
      </c>
      <c r="E158" s="71" t="str">
        <f>VLOOKUP(B158,'MEMÓRIA DE CÁLCULO'!B:H,3,)</f>
        <v>ESTRUT. TELHA DE FIBROCIMENTO (C/TESOURA) C/FERRAGENS</v>
      </c>
      <c r="F158" s="69" t="s">
        <v>17</v>
      </c>
      <c r="G158" s="69">
        <f>VLOOKUP(B158,'MEMÓRIA DE CÁLCULO'!B:H,7,)</f>
        <v>98.240000000000009</v>
      </c>
      <c r="H158" s="81"/>
      <c r="I158" s="81"/>
      <c r="J158" s="89">
        <f>(I158+H158)*G158</f>
        <v>0</v>
      </c>
      <c r="K158" s="533" t="e">
        <f t="shared" si="15"/>
        <v>#DIV/0!</v>
      </c>
    </row>
    <row r="159" spans="2:11" ht="43.5" customHeight="1">
      <c r="B159" s="86" t="s">
        <v>411</v>
      </c>
      <c r="C159" s="68" t="s">
        <v>544</v>
      </c>
      <c r="D159" s="68" t="str">
        <f>VLOOKUP(B159,'MEMÓRIA DE CÁLCULO'!B:H,2,)</f>
        <v xml:space="preserve"> 100384</v>
      </c>
      <c r="E159" s="71" t="str">
        <f>'MEMÓRIA DE CÁLCULO'!D444</f>
        <v>FABRICAÇÃO E INSTALAÇÃO DE PONTALETES DE MADEIRA NÃO APARELHADA PARA TELHADOS COM ATÉ 2 ÁGUAS E COM TELHA ONDULADA DE FIBROCIMENTO, ALUMÍNIO OU PLÁSTICA EM EDIFÍCIO INSTITUCIONAL TÉRREO, INCLUSO TRANSPORTE VERTICAL</v>
      </c>
      <c r="F159" s="69" t="s">
        <v>17</v>
      </c>
      <c r="G159" s="69">
        <f>VLOOKUP(B159,'MEMÓRIA DE CÁLCULO'!B:H,7,)</f>
        <v>98.240000000000009</v>
      </c>
      <c r="H159" s="81"/>
      <c r="I159" s="81"/>
      <c r="J159" s="89">
        <f>(I159+H159)*G159</f>
        <v>0</v>
      </c>
      <c r="K159" s="367" t="e">
        <f t="shared" si="15"/>
        <v>#DIV/0!</v>
      </c>
    </row>
    <row r="160" spans="2:11" ht="15">
      <c r="B160" s="126"/>
      <c r="C160" s="127"/>
      <c r="D160" s="127"/>
      <c r="E160" s="127"/>
      <c r="F160" s="127"/>
      <c r="G160" s="127"/>
      <c r="H160" s="127"/>
      <c r="I160" s="127"/>
      <c r="J160" s="128"/>
      <c r="K160" s="367" t="e">
        <f t="shared" si="15"/>
        <v>#DIV/0!</v>
      </c>
    </row>
    <row r="161" spans="2:11" ht="15">
      <c r="B161" s="667" t="s">
        <v>563</v>
      </c>
      <c r="C161" s="668"/>
      <c r="D161" s="668"/>
      <c r="E161" s="668"/>
      <c r="F161" s="668"/>
      <c r="G161" s="668"/>
      <c r="H161" s="668"/>
      <c r="I161" s="669"/>
      <c r="J161" s="49">
        <f>SUM(J163:J165)</f>
        <v>0</v>
      </c>
      <c r="K161" s="367" t="e">
        <f t="shared" si="15"/>
        <v>#DIV/0!</v>
      </c>
    </row>
    <row r="162" spans="2:11" ht="15">
      <c r="B162" s="22">
        <v>11</v>
      </c>
      <c r="C162" s="676" t="s">
        <v>416</v>
      </c>
      <c r="D162" s="662"/>
      <c r="E162" s="662"/>
      <c r="F162" s="662"/>
      <c r="G162" s="662"/>
      <c r="H162" s="662"/>
      <c r="I162" s="662"/>
      <c r="J162" s="663"/>
      <c r="K162" s="367" t="e">
        <f t="shared" si="15"/>
        <v>#DIV/0!</v>
      </c>
    </row>
    <row r="163" spans="2:11" ht="15">
      <c r="B163" s="155" t="s">
        <v>417</v>
      </c>
      <c r="C163" s="156" t="s">
        <v>544</v>
      </c>
      <c r="D163" s="156" t="str">
        <f>VLOOKUP(B163,'MEMÓRIA DE CÁLCULO'!B:H,2,)</f>
        <v xml:space="preserve"> 94228</v>
      </c>
      <c r="E163" s="157" t="str">
        <f>VLOOKUP(B163,'MEMÓRIA DE CÁLCULO'!B:H,3,)</f>
        <v>CALHA EM CHAPA DE AÇO GALVANIZADO NÚMERO 24, DESENVOLVIMENTO DE 50 CM, INCLUSO TRANSPORTE VERTICAL.</v>
      </c>
      <c r="F163" s="158" t="s">
        <v>17</v>
      </c>
      <c r="G163" s="158">
        <f>VLOOKUP(B163,'MEMÓRIA DE CÁLCULO'!B:H,7,)</f>
        <v>20</v>
      </c>
      <c r="H163" s="159"/>
      <c r="I163" s="159"/>
      <c r="J163" s="160">
        <f t="shared" ref="J163:J164" si="16">(I163+H163)*G163</f>
        <v>0</v>
      </c>
      <c r="K163" s="367" t="e">
        <f t="shared" si="15"/>
        <v>#DIV/0!</v>
      </c>
    </row>
    <row r="164" spans="2:11" ht="15">
      <c r="B164" s="155" t="s">
        <v>421</v>
      </c>
      <c r="C164" s="156" t="s">
        <v>545</v>
      </c>
      <c r="D164" s="68">
        <f>VLOOKUP(B164,'MEMÓRIA DE CÁLCULO'!B:H,2,)</f>
        <v>160602</v>
      </c>
      <c r="E164" s="71" t="str">
        <f>VLOOKUP(B164,'MEMÓRIA DE CÁLCULO'!B:H,3,)</f>
        <v>RUFO DE CHAPA GALVANIZADA</v>
      </c>
      <c r="F164" s="158" t="s">
        <v>17</v>
      </c>
      <c r="G164" s="69">
        <f>VLOOKUP(B164,'MEMÓRIA DE CÁLCULO'!B:H,7,)</f>
        <v>23.650000000000002</v>
      </c>
      <c r="H164" s="81"/>
      <c r="I164" s="81"/>
      <c r="J164" s="89">
        <f t="shared" si="16"/>
        <v>0</v>
      </c>
      <c r="K164" s="367" t="e">
        <f t="shared" si="15"/>
        <v>#DIV/0!</v>
      </c>
    </row>
    <row r="165" spans="2:11" ht="15">
      <c r="B165" s="155" t="s">
        <v>424</v>
      </c>
      <c r="C165" s="156" t="s">
        <v>545</v>
      </c>
      <c r="D165" s="68">
        <f>VLOOKUP(B165,'MEMÓRIA DE CÁLCULO'!B:H,2,)</f>
        <v>160501</v>
      </c>
      <c r="E165" s="71" t="str">
        <f>VLOOKUP(B165,'MEMÓRIA DE CÁLCULO'!B:H,3,)</f>
        <v>COBERTURA COM TELHA ONDULADA OU EQUIV. (FIBROCIMENTO)</v>
      </c>
      <c r="F165" s="158" t="s">
        <v>17</v>
      </c>
      <c r="G165" s="69">
        <f>VLOOKUP(B165,'MEMÓRIA DE CÁLCULO'!B:H,7,)</f>
        <v>98.240000000000009</v>
      </c>
      <c r="H165" s="81"/>
      <c r="I165" s="81"/>
      <c r="J165" s="89">
        <f t="shared" ref="J165" si="17">(I165+H165)*G165</f>
        <v>0</v>
      </c>
      <c r="K165" s="367" t="e">
        <f t="shared" si="15"/>
        <v>#DIV/0!</v>
      </c>
    </row>
    <row r="166" spans="2:11" ht="15">
      <c r="B166" s="26"/>
      <c r="D166" s="5"/>
      <c r="E166" s="113"/>
      <c r="H166" s="117"/>
      <c r="I166" s="117"/>
      <c r="J166" s="118"/>
      <c r="K166" s="367"/>
    </row>
    <row r="167" spans="2:11" ht="15">
      <c r="B167" s="679" t="s">
        <v>564</v>
      </c>
      <c r="C167" s="680"/>
      <c r="D167" s="680"/>
      <c r="E167" s="680"/>
      <c r="F167" s="680"/>
      <c r="G167" s="680"/>
      <c r="H167" s="680"/>
      <c r="I167" s="680"/>
      <c r="J167" s="50">
        <f>SUM(J169:J170)</f>
        <v>0</v>
      </c>
      <c r="K167" s="367" t="e">
        <f>(J167*100%)/$J$218</f>
        <v>#DIV/0!</v>
      </c>
    </row>
    <row r="168" spans="2:11" ht="15">
      <c r="B168" s="22">
        <v>12</v>
      </c>
      <c r="C168" s="676" t="s">
        <v>565</v>
      </c>
      <c r="D168" s="662"/>
      <c r="E168" s="662"/>
      <c r="F168" s="662"/>
      <c r="G168" s="662"/>
      <c r="H168" s="662"/>
      <c r="I168" s="662"/>
      <c r="J168" s="663"/>
      <c r="K168" s="367" t="e">
        <f>(J168*100%)/$J$218</f>
        <v>#DIV/0!</v>
      </c>
    </row>
    <row r="169" spans="2:11" ht="15">
      <c r="B169" s="86" t="s">
        <v>429</v>
      </c>
      <c r="C169" s="68" t="s">
        <v>545</v>
      </c>
      <c r="D169" s="68">
        <f>VLOOKUP(B169,'MEMÓRIA DE CÁLCULO'!B:H,2,)</f>
        <v>170103</v>
      </c>
      <c r="E169" s="85" t="str">
        <f>VLOOKUP(B169,'MEMÓRIA DE CÁLCULO'!B:H,3,)</f>
        <v>PORTA LISA 80x210 C/PORTAL E ALISAR S/FERRAGENS, CONFORME PROJETO ARQ.</v>
      </c>
      <c r="F169" s="69" t="s">
        <v>171</v>
      </c>
      <c r="G169" s="69">
        <f>VLOOKUP(B169,'MEMÓRIA DE CÁLCULO'!B:H,7,)</f>
        <v>2</v>
      </c>
      <c r="H169" s="81"/>
      <c r="I169" s="81"/>
      <c r="J169" s="89">
        <f>(I169+H169)*G169</f>
        <v>0</v>
      </c>
      <c r="K169" s="367" t="e">
        <f>(J169*100%)/$J$218</f>
        <v>#DIV/0!</v>
      </c>
    </row>
    <row r="170" spans="2:11" ht="15">
      <c r="B170" s="86" t="s">
        <v>431</v>
      </c>
      <c r="C170" s="68" t="s">
        <v>545</v>
      </c>
      <c r="D170" s="68" t="str">
        <f>VLOOKUP(B170,'MEMÓRIA DE CÁLCULO'!B:H,2,)</f>
        <v>170111</v>
      </c>
      <c r="E170" s="85" t="str">
        <f>VLOOKUP(B170,'MEMÓRIA DE CÁLCULO'!B:H,3,)</f>
        <v>PORTA LISA 100x210 C/PORTAL E ALISAR S/FERRAGENS, CONFORME PROJETO ARQ.</v>
      </c>
      <c r="F170" s="69" t="s">
        <v>171</v>
      </c>
      <c r="G170" s="69">
        <f>VLOOKUP(B170,'MEMÓRIA DE CÁLCULO'!B:H,7,)</f>
        <v>1</v>
      </c>
      <c r="H170" s="81"/>
      <c r="I170" s="81"/>
      <c r="J170" s="89">
        <f>(I170+H170)*G170</f>
        <v>0</v>
      </c>
      <c r="K170" s="367" t="e">
        <f t="shared" ref="K170:K203" si="18">(J170*100%)/$J$218</f>
        <v>#DIV/0!</v>
      </c>
    </row>
    <row r="171" spans="2:11" ht="15">
      <c r="B171" s="26"/>
      <c r="D171" s="5"/>
      <c r="E171" s="239"/>
      <c r="H171" s="117"/>
      <c r="I171" s="117"/>
      <c r="J171" s="118"/>
      <c r="K171" s="367" t="e">
        <f t="shared" si="18"/>
        <v>#DIV/0!</v>
      </c>
    </row>
    <row r="172" spans="2:11" ht="15">
      <c r="B172" s="667" t="s">
        <v>566</v>
      </c>
      <c r="C172" s="668"/>
      <c r="D172" s="668"/>
      <c r="E172" s="668"/>
      <c r="F172" s="668"/>
      <c r="G172" s="668"/>
      <c r="H172" s="668"/>
      <c r="I172" s="669"/>
      <c r="J172" s="50">
        <f>SUM(J174:J176)</f>
        <v>0</v>
      </c>
      <c r="K172" s="367" t="e">
        <f t="shared" si="18"/>
        <v>#DIV/0!</v>
      </c>
    </row>
    <row r="173" spans="2:11" ht="15">
      <c r="B173" s="22">
        <v>13</v>
      </c>
      <c r="C173" s="670" t="s">
        <v>567</v>
      </c>
      <c r="D173" s="670"/>
      <c r="E173" s="670"/>
      <c r="F173" s="670"/>
      <c r="G173" s="670"/>
      <c r="H173" s="670"/>
      <c r="I173" s="670"/>
      <c r="J173" s="671"/>
      <c r="K173" s="367" t="e">
        <f t="shared" si="18"/>
        <v>#DIV/0!</v>
      </c>
    </row>
    <row r="174" spans="2:11" ht="32.25" customHeight="1">
      <c r="B174" s="155" t="s">
        <v>436</v>
      </c>
      <c r="C174" s="156" t="s">
        <v>544</v>
      </c>
      <c r="D174" s="156" t="str">
        <f>VLOOKUP(B174,'MEMÓRIA DE CÁLCULO'!B:H,2,)</f>
        <v xml:space="preserve"> 94573</v>
      </c>
      <c r="E174" s="85" t="str">
        <f>VLOOKUP(B174,'MEMÓRIA DE CÁLCULO'!B:H,3,)</f>
        <v>JANELA DE ALUMÍNIO DE CORRER COM 4 FOLHAS PARA VIDROS, COM VIDROS, BATENTE ACABAMENTO COM ACETATO OU BRILHANTE E FERRAGENS</v>
      </c>
      <c r="F174" s="158" t="s">
        <v>17</v>
      </c>
      <c r="G174" s="158">
        <f>VLOOKUP(B174,'MEMÓRIA DE CÁLCULO'!B:H,7,)</f>
        <v>5.7600000000000007</v>
      </c>
      <c r="H174" s="159"/>
      <c r="I174" s="159"/>
      <c r="J174" s="160">
        <f t="shared" ref="J174:J175" si="19">(H174+I174)*G174</f>
        <v>0</v>
      </c>
      <c r="K174" s="367" t="e">
        <f t="shared" si="18"/>
        <v>#DIV/0!</v>
      </c>
    </row>
    <row r="175" spans="2:11" ht="20.25" customHeight="1">
      <c r="B175" s="155" t="s">
        <v>441</v>
      </c>
      <c r="C175" s="156" t="s">
        <v>544</v>
      </c>
      <c r="D175" s="68" t="str">
        <f>VLOOKUP(B175,'MEMÓRIA DE CÁLCULO'!B:H,2,)</f>
        <v>94569</v>
      </c>
      <c r="E175" s="85" t="str">
        <f>VLOOKUP(B175,'MEMÓRIA DE CÁLCULO'!B:H,3,)</f>
        <v xml:space="preserve">JANELA DE ALUMÍNIO TIPO MAXIM-AR, COM VIDROS, BATENTE E FERRAGENS. </v>
      </c>
      <c r="F175" s="69" t="s">
        <v>17</v>
      </c>
      <c r="G175" s="69">
        <f>VLOOKUP(B175,'MEMÓRIA DE CÁLCULO'!B:H,7,)</f>
        <v>0.4</v>
      </c>
      <c r="H175" s="81"/>
      <c r="I175" s="81"/>
      <c r="J175" s="89">
        <f t="shared" si="19"/>
        <v>0</v>
      </c>
      <c r="K175" s="367" t="e">
        <f t="shared" si="18"/>
        <v>#DIV/0!</v>
      </c>
    </row>
    <row r="176" spans="2:11" ht="28.5">
      <c r="B176" s="155" t="s">
        <v>445</v>
      </c>
      <c r="C176" s="156" t="s">
        <v>544</v>
      </c>
      <c r="D176" s="68" t="str">
        <f>VLOOKUP(B176,'MEMÓRIA DE CÁLCULO'!B:H,2,)</f>
        <v>180124</v>
      </c>
      <c r="E176" s="85" t="str">
        <f>VLOOKUP(B176,'MEMÓRIA DE CÁLCULO'!B:H,3,)</f>
        <v>PORTA DE ABRIR EM ALUMINIO, 01 FOLHA VENEZIANA, ACABAMENTO EM PINTURA ELETROSTÁTICA BRANCA - INCLUSO FERRAGENS (M.O.FAB.INC.MAT.</v>
      </c>
      <c r="F176" s="69" t="s">
        <v>17</v>
      </c>
      <c r="G176" s="69">
        <f>VLOOKUP(B176,'MEMÓRIA DE CÁLCULO'!B:H,7,)</f>
        <v>0.36</v>
      </c>
      <c r="H176" s="81"/>
      <c r="I176" s="81"/>
      <c r="J176" s="89">
        <f>(H176+I176)*G176</f>
        <v>0</v>
      </c>
      <c r="K176" s="367" t="e">
        <f t="shared" si="18"/>
        <v>#DIV/0!</v>
      </c>
    </row>
    <row r="177" spans="2:12" ht="15">
      <c r="B177" s="10"/>
      <c r="C177" s="10"/>
      <c r="D177" s="10"/>
      <c r="E177" s="10"/>
      <c r="F177" s="10"/>
      <c r="G177" s="10"/>
      <c r="H177" s="10"/>
      <c r="I177" s="10"/>
      <c r="J177" s="118"/>
      <c r="K177" s="367"/>
    </row>
    <row r="178" spans="2:12" s="5" customFormat="1" ht="15">
      <c r="B178" s="667" t="s">
        <v>568</v>
      </c>
      <c r="C178" s="668"/>
      <c r="D178" s="668"/>
      <c r="E178" s="668"/>
      <c r="F178" s="668"/>
      <c r="G178" s="668"/>
      <c r="H178" s="668"/>
      <c r="I178" s="669"/>
      <c r="J178" s="50">
        <f>SUM(J180:J183)</f>
        <v>0</v>
      </c>
      <c r="K178" s="367" t="e">
        <f t="shared" si="18"/>
        <v>#DIV/0!</v>
      </c>
    </row>
    <row r="179" spans="2:12" s="23" customFormat="1" ht="15">
      <c r="B179" s="22">
        <v>14</v>
      </c>
      <c r="C179" s="670" t="s">
        <v>451</v>
      </c>
      <c r="D179" s="670"/>
      <c r="E179" s="670"/>
      <c r="F179" s="670"/>
      <c r="G179" s="670"/>
      <c r="H179" s="670"/>
      <c r="I179" s="670"/>
      <c r="J179" s="671"/>
      <c r="K179" s="367" t="e">
        <f t="shared" si="18"/>
        <v>#DIV/0!</v>
      </c>
    </row>
    <row r="180" spans="2:12" s="23" customFormat="1" ht="15">
      <c r="B180" s="161" t="s">
        <v>452</v>
      </c>
      <c r="C180" s="162" t="s">
        <v>545</v>
      </c>
      <c r="D180" s="162">
        <f>VLOOKUP(B180,'MEMÓRIA DE CÁLCULO'!B:H,2,)</f>
        <v>201302</v>
      </c>
      <c r="E180" s="85" t="str">
        <f>VLOOKUP(B180,'MEMÓRIA DE CÁLCULO'!B:H,3,)</f>
        <v>REVESTIMENTO COM CERÂMICA</v>
      </c>
      <c r="F180" s="163" t="s">
        <v>17</v>
      </c>
      <c r="G180" s="163">
        <f>VLOOKUP(B180,'MEMÓRIA DE CÁLCULO'!B:H,7,)</f>
        <v>41.4</v>
      </c>
      <c r="H180" s="164"/>
      <c r="I180" s="164"/>
      <c r="J180" s="165">
        <f>(I180+H180)*G180</f>
        <v>0</v>
      </c>
      <c r="K180" s="367" t="e">
        <f t="shared" si="18"/>
        <v>#DIV/0!</v>
      </c>
      <c r="L180" s="47"/>
    </row>
    <row r="181" spans="2:12" s="23" customFormat="1" ht="15">
      <c r="B181" s="161" t="s">
        <v>456</v>
      </c>
      <c r="C181" s="79" t="s">
        <v>545</v>
      </c>
      <c r="D181" s="79">
        <f>VLOOKUP(B181,'MEMÓRIA DE CÁLCULO'!B:H,2,)</f>
        <v>200101</v>
      </c>
      <c r="E181" s="71" t="str">
        <f>VLOOKUP(B181,'MEMÓRIA DE CÁLCULO'!B:H,3,)</f>
        <v>CHAPISCO COMUM</v>
      </c>
      <c r="F181" s="82" t="s">
        <v>17</v>
      </c>
      <c r="G181" s="82">
        <f>VLOOKUP(B181,'MEMÓRIA DE CÁLCULO'!B:H,7,)</f>
        <v>884.08</v>
      </c>
      <c r="H181" s="164"/>
      <c r="I181" s="164"/>
      <c r="J181" s="90">
        <f>(I181+H181)*G181</f>
        <v>0</v>
      </c>
      <c r="K181" s="367" t="e">
        <f t="shared" si="18"/>
        <v>#DIV/0!</v>
      </c>
      <c r="L181" s="47"/>
    </row>
    <row r="182" spans="2:12" s="23" customFormat="1" ht="15.75">
      <c r="B182" s="161" t="s">
        <v>458</v>
      </c>
      <c r="C182" s="79" t="s">
        <v>545</v>
      </c>
      <c r="D182" s="79">
        <f>VLOOKUP(B182,'MEMÓRIA DE CÁLCULO'!B:H,2,)</f>
        <v>200201</v>
      </c>
      <c r="E182" s="71" t="str">
        <f>VLOOKUP(B182,'MEMÓRIA DE CÁLCULO'!B:H,3,)</f>
        <v>EMBOÇO (1CI:4 ARML)</v>
      </c>
      <c r="F182" s="82" t="s">
        <v>17</v>
      </c>
      <c r="G182" s="82">
        <f>VLOOKUP(B182,'MEMÓRIA DE CÁLCULO'!B:H,7,)</f>
        <v>884.08</v>
      </c>
      <c r="H182" s="164"/>
      <c r="I182" s="164"/>
      <c r="J182" s="90">
        <f>(I182+H182)*G182</f>
        <v>0</v>
      </c>
      <c r="K182" s="533" t="e">
        <f t="shared" si="18"/>
        <v>#DIV/0!</v>
      </c>
      <c r="L182" s="47"/>
    </row>
    <row r="183" spans="2:12" s="23" customFormat="1" ht="15.75">
      <c r="B183" s="161" t="s">
        <v>461</v>
      </c>
      <c r="C183" s="68" t="s">
        <v>545</v>
      </c>
      <c r="D183" s="68" t="str">
        <f>VLOOKUP(B183,'MEMÓRIA DE CÁLCULO'!B:H,2,)</f>
        <v>200403</v>
      </c>
      <c r="E183" s="71" t="str">
        <f>VLOOKUP(B183,'MEMÓRIA DE CÁLCULO'!B:H,3,)</f>
        <v>REBOCO (1CALH:4 ARFC+100KGCI/M3)</v>
      </c>
      <c r="F183" s="69" t="s">
        <v>17</v>
      </c>
      <c r="G183" s="69">
        <f>VLOOKUP(B183,'MEMÓRIA DE CÁLCULO'!B:H,7,)</f>
        <v>884.08</v>
      </c>
      <c r="H183" s="164"/>
      <c r="I183" s="164"/>
      <c r="J183" s="89">
        <f>(I183+H183)*G183</f>
        <v>0</v>
      </c>
      <c r="K183" s="533" t="e">
        <f t="shared" si="18"/>
        <v>#DIV/0!</v>
      </c>
      <c r="L183" s="47"/>
    </row>
    <row r="184" spans="2:12" s="23" customFormat="1" ht="15">
      <c r="B184" s="283"/>
      <c r="C184" s="284"/>
      <c r="D184" s="284"/>
      <c r="E184" s="285"/>
      <c r="F184" s="286"/>
      <c r="G184" s="286"/>
      <c r="H184" s="287"/>
      <c r="I184" s="287"/>
      <c r="J184" s="288"/>
      <c r="K184" s="367" t="e">
        <f t="shared" si="18"/>
        <v>#DIV/0!</v>
      </c>
      <c r="L184" s="47"/>
    </row>
    <row r="185" spans="2:12" s="23" customFormat="1" ht="15">
      <c r="B185" s="667" t="s">
        <v>569</v>
      </c>
      <c r="C185" s="668"/>
      <c r="D185" s="668"/>
      <c r="E185" s="668"/>
      <c r="F185" s="668"/>
      <c r="G185" s="668"/>
      <c r="H185" s="668"/>
      <c r="I185" s="669"/>
      <c r="J185" s="50">
        <f>SUM(J187:J189)</f>
        <v>0</v>
      </c>
      <c r="K185" s="367" t="e">
        <f t="shared" si="18"/>
        <v>#DIV/0!</v>
      </c>
      <c r="L185" s="47"/>
    </row>
    <row r="186" spans="2:12" s="23" customFormat="1" ht="15">
      <c r="B186" s="22">
        <v>15</v>
      </c>
      <c r="C186" s="670" t="s">
        <v>466</v>
      </c>
      <c r="D186" s="670"/>
      <c r="E186" s="670"/>
      <c r="F186" s="670"/>
      <c r="G186" s="670"/>
      <c r="H186" s="670"/>
      <c r="I186" s="670"/>
      <c r="J186" s="671"/>
      <c r="K186" s="367" t="e">
        <f t="shared" si="18"/>
        <v>#DIV/0!</v>
      </c>
      <c r="L186" s="47"/>
    </row>
    <row r="187" spans="2:12" ht="15">
      <c r="B187" s="161" t="s">
        <v>467</v>
      </c>
      <c r="C187" s="162" t="s">
        <v>545</v>
      </c>
      <c r="D187" s="162">
        <f>VLOOKUP(B187,'MEMÓRIA DE CÁLCULO'!B:H,2,)</f>
        <v>220311</v>
      </c>
      <c r="E187" s="85" t="str">
        <f>VLOOKUP(B187,'MEMÓRIA DE CÁLCULO'!B:H,3,)</f>
        <v>CERÂMICA ANTIDERRAPANTE PEI MAIOR OU IGUAL A 4 COM CONTRA PISO (1CI:3ARML) E ARGAMASSA COLANTE</v>
      </c>
      <c r="F187" s="163" t="s">
        <v>17</v>
      </c>
      <c r="G187" s="163">
        <f>VLOOKUP(B187,'MEMÓRIA DE CÁLCULO'!B:H,7,)</f>
        <v>75.2</v>
      </c>
      <c r="H187" s="164"/>
      <c r="I187" s="164"/>
      <c r="J187" s="165">
        <f t="shared" ref="J187:J189" si="20">(I187+H187)*G187</f>
        <v>0</v>
      </c>
      <c r="K187" s="367" t="e">
        <f t="shared" si="18"/>
        <v>#DIV/0!</v>
      </c>
    </row>
    <row r="188" spans="2:12" s="23" customFormat="1" ht="15">
      <c r="B188" s="161" t="s">
        <v>469</v>
      </c>
      <c r="C188" s="79" t="s">
        <v>545</v>
      </c>
      <c r="D188" s="79">
        <f>VLOOKUP(B188,'MEMÓRIA DE CÁLCULO'!B:H,2,)</f>
        <v>220920</v>
      </c>
      <c r="E188" s="71" t="str">
        <f>VLOOKUP(B188,'MEMÓRIA DE CÁLCULO'!B:H,3,)</f>
        <v>SOLEIRA EM GRANITO IMPERMEABILIZADA COM CONTRAPISO (1CI:3ARML)</v>
      </c>
      <c r="F188" s="82" t="s">
        <v>17</v>
      </c>
      <c r="G188" s="82">
        <f>VLOOKUP(B188,'MEMÓRIA DE CÁLCULO'!B:H,7,)</f>
        <v>0.48</v>
      </c>
      <c r="H188" s="164"/>
      <c r="I188" s="164"/>
      <c r="J188" s="90">
        <f t="shared" si="20"/>
        <v>0</v>
      </c>
      <c r="K188" s="367" t="e">
        <f t="shared" si="18"/>
        <v>#DIV/0!</v>
      </c>
      <c r="L188" s="47"/>
    </row>
    <row r="189" spans="2:12" s="23" customFormat="1" ht="15">
      <c r="B189" s="161" t="s">
        <v>474</v>
      </c>
      <c r="C189" s="79" t="s">
        <v>545</v>
      </c>
      <c r="D189" s="79">
        <f>VLOOKUP(B189,'MEMÓRIA DE CÁLCULO'!B:H,2,)</f>
        <v>220312</v>
      </c>
      <c r="E189" s="71" t="str">
        <f>VLOOKUP(B189,'MEMÓRIA DE CÁLCULO'!B:H,3,)</f>
        <v>RODAPÉ DE CERÂMICA ANTIDERRAPANTE COM ARGAMASSA COLANTE</v>
      </c>
      <c r="F189" s="82" t="s">
        <v>17</v>
      </c>
      <c r="G189" s="82">
        <f>VLOOKUP(B189,'MEMÓRIA DE CÁLCULO'!B:H,7,)</f>
        <v>60.2</v>
      </c>
      <c r="H189" s="164"/>
      <c r="I189" s="164"/>
      <c r="J189" s="90">
        <f t="shared" si="20"/>
        <v>0</v>
      </c>
      <c r="K189" s="367" t="e">
        <f t="shared" si="18"/>
        <v>#DIV/0!</v>
      </c>
      <c r="L189" s="47"/>
    </row>
    <row r="190" spans="2:12" s="23" customFormat="1" ht="15">
      <c r="B190" s="112"/>
      <c r="C190" s="236"/>
      <c r="D190" s="237"/>
      <c r="E190" s="113"/>
      <c r="F190" s="1"/>
      <c r="G190" s="1"/>
      <c r="H190" s="238"/>
      <c r="I190" s="238"/>
      <c r="J190" s="114"/>
      <c r="K190" s="367" t="e">
        <f t="shared" si="18"/>
        <v>#DIV/0!</v>
      </c>
      <c r="L190" s="47"/>
    </row>
    <row r="191" spans="2:12" s="5" customFormat="1" ht="15">
      <c r="B191" s="667" t="s">
        <v>476</v>
      </c>
      <c r="C191" s="668"/>
      <c r="D191" s="668"/>
      <c r="E191" s="668"/>
      <c r="F191" s="668"/>
      <c r="G191" s="668"/>
      <c r="H191" s="668"/>
      <c r="I191" s="669"/>
      <c r="J191" s="50">
        <f>SUM(J193:J194)</f>
        <v>0</v>
      </c>
      <c r="K191" s="367" t="e">
        <f t="shared" si="18"/>
        <v>#DIV/0!</v>
      </c>
    </row>
    <row r="192" spans="2:12" s="23" customFormat="1" ht="15">
      <c r="B192" s="22">
        <v>16</v>
      </c>
      <c r="C192" s="670" t="s">
        <v>478</v>
      </c>
      <c r="D192" s="670"/>
      <c r="E192" s="670"/>
      <c r="F192" s="670"/>
      <c r="G192" s="670"/>
      <c r="H192" s="670"/>
      <c r="I192" s="670"/>
      <c r="J192" s="671"/>
      <c r="K192" s="367" t="e">
        <f t="shared" si="18"/>
        <v>#DIV/0!</v>
      </c>
    </row>
    <row r="193" spans="2:12" ht="15">
      <c r="B193" s="161" t="s">
        <v>479</v>
      </c>
      <c r="C193" s="162" t="s">
        <v>545</v>
      </c>
      <c r="D193" s="162">
        <f>VLOOKUP(B193,'MEMÓRIA DE CÁLCULO'!B:H,2,)</f>
        <v>230101</v>
      </c>
      <c r="E193" s="85" t="str">
        <f>VLOOKUP(B193,'MEMÓRIA DE CÁLCULO'!B:H,3,)</f>
        <v>FECH.(ALAV.) LAFONTE 6236 E/8766- E17 IMAB OU EQUIV</v>
      </c>
      <c r="F193" s="163" t="s">
        <v>171</v>
      </c>
      <c r="G193" s="163">
        <f>VLOOKUP(B193,'MEMÓRIA DE CÁLCULO'!B:H,7,)</f>
        <v>4</v>
      </c>
      <c r="H193" s="164"/>
      <c r="I193" s="164"/>
      <c r="J193" s="165">
        <f t="shared" ref="J193:J194" si="21">(I193+H193)*G193</f>
        <v>0</v>
      </c>
      <c r="K193" s="367" t="e">
        <f t="shared" si="18"/>
        <v>#DIV/0!</v>
      </c>
      <c r="L193" s="47"/>
    </row>
    <row r="194" spans="2:12" ht="15">
      <c r="B194" s="161" t="s">
        <v>481</v>
      </c>
      <c r="C194" s="79" t="s">
        <v>545</v>
      </c>
      <c r="D194" s="79">
        <f>VLOOKUP(B194,'MEMÓRIA DE CÁLCULO'!B:H,2,)</f>
        <v>230201</v>
      </c>
      <c r="E194" s="85" t="str">
        <f>VLOOKUP(B194,'MEMÓRIA DE CÁLCULO'!B:H,3,)</f>
        <v>DOBRADIÇA 3" x 3 1/2" FERRO POLIDO</v>
      </c>
      <c r="F194" s="82" t="s">
        <v>171</v>
      </c>
      <c r="G194" s="82">
        <f>VLOOKUP(B194,'MEMÓRIA DE CÁLCULO'!B:H,7,)</f>
        <v>12</v>
      </c>
      <c r="H194" s="83"/>
      <c r="I194" s="83"/>
      <c r="J194" s="90">
        <f t="shared" si="21"/>
        <v>0</v>
      </c>
      <c r="K194" s="367" t="e">
        <f t="shared" si="18"/>
        <v>#DIV/0!</v>
      </c>
      <c r="L194" s="47"/>
    </row>
    <row r="195" spans="2:12" ht="15">
      <c r="B195" s="26"/>
      <c r="D195" s="5"/>
      <c r="E195" s="5"/>
      <c r="F195" s="5"/>
      <c r="G195" s="5"/>
      <c r="H195" s="5"/>
      <c r="I195" s="5"/>
      <c r="J195" s="123"/>
      <c r="K195" s="367" t="e">
        <f t="shared" si="18"/>
        <v>#DIV/0!</v>
      </c>
    </row>
    <row r="196" spans="2:12" ht="15">
      <c r="B196" s="679" t="s">
        <v>570</v>
      </c>
      <c r="C196" s="680"/>
      <c r="D196" s="680"/>
      <c r="E196" s="680"/>
      <c r="F196" s="680"/>
      <c r="G196" s="680"/>
      <c r="H196" s="680"/>
      <c r="I196" s="680"/>
      <c r="J196" s="51">
        <f>SUM(J198:J201)</f>
        <v>0</v>
      </c>
      <c r="K196" s="367" t="e">
        <f t="shared" si="18"/>
        <v>#DIV/0!</v>
      </c>
    </row>
    <row r="197" spans="2:12" ht="15">
      <c r="B197" s="22">
        <v>17</v>
      </c>
      <c r="C197" s="676" t="s">
        <v>485</v>
      </c>
      <c r="D197" s="662"/>
      <c r="E197" s="662"/>
      <c r="F197" s="662"/>
      <c r="G197" s="662"/>
      <c r="H197" s="662"/>
      <c r="I197" s="662"/>
      <c r="J197" s="663"/>
      <c r="K197" s="367" t="e">
        <f t="shared" si="18"/>
        <v>#DIV/0!</v>
      </c>
    </row>
    <row r="198" spans="2:12" ht="15">
      <c r="B198" s="155" t="s">
        <v>486</v>
      </c>
      <c r="C198" s="156" t="s">
        <v>545</v>
      </c>
      <c r="D198" s="156">
        <f>VLOOKUP(B198,'MEMÓRIA DE CÁLCULO'!B:H,2,)</f>
        <v>250101</v>
      </c>
      <c r="E198" s="191" t="str">
        <f>VLOOKUP(B198,'MEMÓRIA DE CÁLCULO'!B:H,3,)</f>
        <v>ENGENHEIRO - (OBRAS CIVIS)</v>
      </c>
      <c r="F198" s="158" t="s">
        <v>171</v>
      </c>
      <c r="G198" s="158">
        <f>VLOOKUP(B198,'MEMÓRIA DE CÁLCULO'!B:H,7,)</f>
        <v>660</v>
      </c>
      <c r="H198" s="192"/>
      <c r="I198" s="192"/>
      <c r="J198" s="193">
        <f>(I198+H198)*G198</f>
        <v>0</v>
      </c>
      <c r="K198" s="367" t="e">
        <f t="shared" si="18"/>
        <v>#DIV/0!</v>
      </c>
    </row>
    <row r="199" spans="2:12" ht="15">
      <c r="B199" s="155" t="s">
        <v>492</v>
      </c>
      <c r="C199" s="68" t="s">
        <v>545</v>
      </c>
      <c r="D199" s="68">
        <f>VLOOKUP(B199,'MEMÓRIA DE CÁLCULO'!B:H,2,)</f>
        <v>250103</v>
      </c>
      <c r="E199" s="85" t="str">
        <f>VLOOKUP(B199,'MEMÓRIA DE CÁLCULO'!B:H,3,)</f>
        <v>ENCARREGADO - (OBRAS CIVIS)</v>
      </c>
      <c r="F199" s="69" t="s">
        <v>171</v>
      </c>
      <c r="G199" s="69">
        <f>VLOOKUP(B199,'MEMÓRIA DE CÁLCULO'!B:H,7,)</f>
        <v>1056</v>
      </c>
      <c r="H199" s="84"/>
      <c r="I199" s="84"/>
      <c r="J199" s="92">
        <f>(I199+H199)*G199</f>
        <v>0</v>
      </c>
      <c r="K199" s="367" t="e">
        <f t="shared" si="18"/>
        <v>#DIV/0!</v>
      </c>
    </row>
    <row r="200" spans="2:12" ht="15">
      <c r="B200" s="155" t="s">
        <v>495</v>
      </c>
      <c r="C200" s="68" t="s">
        <v>545</v>
      </c>
      <c r="D200" s="68">
        <f>VLOOKUP(B200,'MEMÓRIA DE CÁLCULO'!B:H,2,)</f>
        <v>250110</v>
      </c>
      <c r="E200" s="85" t="str">
        <f>VLOOKUP(B200,'MEMÓRIA DE CÁLCULO'!B:H,3,)</f>
        <v xml:space="preserve">VIGIA DE OBRAS - (NOTURNO E NO SÁBADO/DOMINGO DIURNO) - O.C.  </v>
      </c>
      <c r="F200" s="69" t="s">
        <v>171</v>
      </c>
      <c r="G200" s="69">
        <f>VLOOKUP(B200,'MEMÓRIA DE CÁLCULO'!B:H,7,)</f>
        <v>1584</v>
      </c>
      <c r="H200" s="84"/>
      <c r="I200" s="84"/>
      <c r="J200" s="92">
        <f>(I200+H200)*G200</f>
        <v>0</v>
      </c>
      <c r="K200" s="367" t="e">
        <f>(J200*100%)/$J$218</f>
        <v>#DIV/0!</v>
      </c>
    </row>
    <row r="201" spans="2:12" ht="15">
      <c r="B201" s="155" t="s">
        <v>498</v>
      </c>
      <c r="C201" s="68" t="s">
        <v>545</v>
      </c>
      <c r="D201" s="68" t="str">
        <f>VLOOKUP(B201,'MEMÓRIA DE CÁLCULO'!B:H,2,)</f>
        <v>250104</v>
      </c>
      <c r="E201" s="85" t="str">
        <f>VLOOKUP(B201,'MEMÓRIA DE CÁLCULO'!B:H,3,)</f>
        <v>VIGIA DE OBRAS - DIURNO (OBRAS CIVIS)</v>
      </c>
      <c r="F201" s="69" t="s">
        <v>171</v>
      </c>
      <c r="G201" s="69">
        <f>VLOOKUP(B201,'MEMÓRIA DE CÁLCULO'!B:H,7,)</f>
        <v>576</v>
      </c>
      <c r="H201" s="84"/>
      <c r="I201" s="84"/>
      <c r="J201" s="92">
        <f>(I201+H201)*G201</f>
        <v>0</v>
      </c>
      <c r="K201" s="367" t="e">
        <f>(J201*100%)/$J$218</f>
        <v>#DIV/0!</v>
      </c>
    </row>
    <row r="202" spans="2:12" ht="15">
      <c r="B202" s="26"/>
      <c r="D202" s="172"/>
      <c r="E202" s="172"/>
      <c r="F202" s="172"/>
      <c r="G202" s="172"/>
      <c r="H202" s="172"/>
      <c r="I202" s="172"/>
      <c r="J202" s="173"/>
      <c r="K202" s="367" t="e">
        <f t="shared" si="18"/>
        <v>#DIV/0!</v>
      </c>
    </row>
    <row r="203" spans="2:12" ht="15">
      <c r="B203" s="667" t="s">
        <v>502</v>
      </c>
      <c r="C203" s="668"/>
      <c r="D203" s="668"/>
      <c r="E203" s="668"/>
      <c r="F203" s="668"/>
      <c r="G203" s="668"/>
      <c r="H203" s="668"/>
      <c r="I203" s="668"/>
      <c r="J203" s="51">
        <f>SUM(J205:J207)</f>
        <v>0</v>
      </c>
      <c r="K203" s="367" t="e">
        <f t="shared" si="18"/>
        <v>#DIV/0!</v>
      </c>
      <c r="L203" s="46"/>
    </row>
    <row r="204" spans="2:12" ht="15">
      <c r="B204" s="22">
        <v>18</v>
      </c>
      <c r="C204" s="676" t="s">
        <v>504</v>
      </c>
      <c r="D204" s="662"/>
      <c r="E204" s="662"/>
      <c r="F204" s="662"/>
      <c r="G204" s="662"/>
      <c r="H204" s="662"/>
      <c r="I204" s="662"/>
      <c r="J204" s="663"/>
      <c r="K204" s="367" t="e">
        <f t="shared" ref="K204:K215" si="22">(J204*100%)/$J$218</f>
        <v>#DIV/0!</v>
      </c>
    </row>
    <row r="205" spans="2:12" ht="15.75">
      <c r="B205" s="155" t="s">
        <v>505</v>
      </c>
      <c r="C205" s="156" t="s">
        <v>545</v>
      </c>
      <c r="D205" s="156">
        <f>VLOOKUP(B205,'MEMÓRIA DE CÁLCULO'!B:H,2,)</f>
        <v>261300</v>
      </c>
      <c r="E205" s="191" t="str">
        <f>VLOOKUP(B205,'MEMÓRIA DE CÁLCULO'!B:H,3,)</f>
        <v>EMASSAMENTO COM MASSA PVA DUAS DEMÃOS</v>
      </c>
      <c r="F205" s="156" t="s">
        <v>488</v>
      </c>
      <c r="G205" s="158">
        <f>VLOOKUP(B205,'MEMÓRIA DE CÁLCULO'!B:H,7,)</f>
        <v>884.08</v>
      </c>
      <c r="H205" s="192"/>
      <c r="I205" s="192"/>
      <c r="J205" s="194">
        <f t="shared" ref="J205:J207" si="23">(H205+I205)*G205</f>
        <v>0</v>
      </c>
      <c r="K205" s="530" t="e">
        <f t="shared" si="22"/>
        <v>#DIV/0!</v>
      </c>
    </row>
    <row r="206" spans="2:12" ht="15">
      <c r="B206" s="155" t="s">
        <v>508</v>
      </c>
      <c r="C206" s="156" t="s">
        <v>545</v>
      </c>
      <c r="D206" s="156">
        <f>VLOOKUP(B206,'MEMÓRIA DE CÁLCULO'!B:H,2,)</f>
        <v>261550</v>
      </c>
      <c r="E206" s="191" t="str">
        <f>VLOOKUP(B206,'MEMÓRIA DE CÁLCULO'!B:H,3,)</f>
        <v>PINT.ESMALTE SINT.PAREDES - 2 DEM.C/SELADOR</v>
      </c>
      <c r="F206" s="156" t="s">
        <v>488</v>
      </c>
      <c r="G206" s="158">
        <f>VLOOKUP(B206,'MEMÓRIA DE CÁLCULO'!B:H,7,)</f>
        <v>91.2</v>
      </c>
      <c r="H206" s="192"/>
      <c r="I206" s="192"/>
      <c r="J206" s="194">
        <f t="shared" si="23"/>
        <v>0</v>
      </c>
      <c r="K206" s="367" t="e">
        <f t="shared" si="22"/>
        <v>#DIV/0!</v>
      </c>
    </row>
    <row r="207" spans="2:12" ht="15.75">
      <c r="B207" s="155" t="s">
        <v>510</v>
      </c>
      <c r="C207" s="156" t="s">
        <v>545</v>
      </c>
      <c r="D207" s="156">
        <f>VLOOKUP(B207,'MEMÓRIA DE CÁLCULO'!B:H,2,)</f>
        <v>261001</v>
      </c>
      <c r="E207" s="191" t="str">
        <f>VLOOKUP(B207,'MEMÓRIA DE CÁLCULO'!B:H,3,)</f>
        <v>PINTURA LATÉX ACRÍLICO 2 DEMÃOS</v>
      </c>
      <c r="F207" s="156" t="s">
        <v>488</v>
      </c>
      <c r="G207" s="158">
        <f>VLOOKUP(B207,'MEMÓRIA DE CÁLCULO'!B:H,7,)</f>
        <v>764.08</v>
      </c>
      <c r="H207" s="192"/>
      <c r="I207" s="192"/>
      <c r="J207" s="194">
        <f t="shared" si="23"/>
        <v>0</v>
      </c>
      <c r="K207" s="530" t="e">
        <f t="shared" si="22"/>
        <v>#DIV/0!</v>
      </c>
    </row>
    <row r="208" spans="2:12" ht="15">
      <c r="B208" s="673"/>
      <c r="C208" s="674"/>
      <c r="D208" s="674"/>
      <c r="E208" s="674"/>
      <c r="F208" s="674"/>
      <c r="G208" s="674"/>
      <c r="H208" s="674"/>
      <c r="I208" s="674"/>
      <c r="J208" s="675"/>
      <c r="K208" s="367" t="e">
        <f t="shared" si="22"/>
        <v>#DIV/0!</v>
      </c>
    </row>
    <row r="209" spans="1:12" ht="15">
      <c r="B209" s="667" t="s">
        <v>512</v>
      </c>
      <c r="C209" s="668"/>
      <c r="D209" s="668"/>
      <c r="E209" s="668"/>
      <c r="F209" s="668"/>
      <c r="G209" s="668"/>
      <c r="H209" s="668"/>
      <c r="I209" s="668"/>
      <c r="J209" s="51">
        <f>SUM(J211:J215)</f>
        <v>0</v>
      </c>
      <c r="K209" s="367" t="e">
        <f t="shared" si="22"/>
        <v>#DIV/0!</v>
      </c>
    </row>
    <row r="210" spans="1:12" ht="15">
      <c r="B210" s="22">
        <v>19</v>
      </c>
      <c r="C210" s="676" t="s">
        <v>514</v>
      </c>
      <c r="D210" s="662"/>
      <c r="E210" s="662"/>
      <c r="F210" s="662"/>
      <c r="G210" s="662"/>
      <c r="H210" s="662"/>
      <c r="I210" s="662"/>
      <c r="J210" s="663"/>
      <c r="K210" s="367" t="e">
        <f t="shared" si="22"/>
        <v>#DIV/0!</v>
      </c>
    </row>
    <row r="211" spans="1:12" ht="18" customHeight="1">
      <c r="B211" s="155" t="s">
        <v>515</v>
      </c>
      <c r="C211" s="156" t="s">
        <v>545</v>
      </c>
      <c r="D211" s="156">
        <f>VLOOKUP(B211,'MEMÓRIA DE CÁLCULO'!B:H,2,)</f>
        <v>270501</v>
      </c>
      <c r="E211" s="185" t="str">
        <f>VLOOKUP(B211,'MEMÓRIA DE CÁLCULO'!B:H,3,)</f>
        <v>LIMPEZA FINAL DE OBRA - (OBRAS CIVIS)</v>
      </c>
      <c r="F211" s="158" t="s">
        <v>17</v>
      </c>
      <c r="G211" s="158">
        <f>VLOOKUP(B211,'MEMÓRIA DE CÁLCULO'!B:H,7,)</f>
        <v>102.2</v>
      </c>
      <c r="H211" s="192"/>
      <c r="I211" s="192"/>
      <c r="J211" s="194">
        <f t="shared" ref="J211:J215" si="24">(I211+H211)*G211</f>
        <v>0</v>
      </c>
      <c r="K211" s="367" t="e">
        <f t="shared" si="22"/>
        <v>#DIV/0!</v>
      </c>
    </row>
    <row r="212" spans="1:12" ht="15">
      <c r="B212" s="155" t="s">
        <v>518</v>
      </c>
      <c r="C212" s="68" t="s">
        <v>545</v>
      </c>
      <c r="D212" s="68" t="s">
        <v>519</v>
      </c>
      <c r="E212" s="85" t="str">
        <f>VLOOKUP(B212,'MEMÓRIA DE CÁLCULO'!B:H,3,)</f>
        <v>ESPELHO 40X50 CM</v>
      </c>
      <c r="F212" s="69" t="s">
        <v>17</v>
      </c>
      <c r="G212" s="69">
        <f>VLOOKUP(B212,'MEMÓRIA DE CÁLCULO'!B:H,7,)</f>
        <v>0.60000000000000009</v>
      </c>
      <c r="H212" s="192"/>
      <c r="I212" s="192"/>
      <c r="J212" s="91">
        <f t="shared" si="24"/>
        <v>0</v>
      </c>
      <c r="K212" s="367" t="e">
        <f t="shared" si="22"/>
        <v>#DIV/0!</v>
      </c>
    </row>
    <row r="213" spans="1:12" ht="15">
      <c r="B213" s="155" t="s">
        <v>522</v>
      </c>
      <c r="C213" s="68" t="s">
        <v>545</v>
      </c>
      <c r="D213" s="68" t="s">
        <v>523</v>
      </c>
      <c r="E213" s="85" t="str">
        <f>VLOOKUP(B213,'MEMÓRIA DE CÁLCULO'!B:H,3,)</f>
        <v>BANCADA EM GRANITO INSTALADA</v>
      </c>
      <c r="F213" s="69" t="s">
        <v>171</v>
      </c>
      <c r="G213" s="69">
        <f>VLOOKUP(B213,'MEMÓRIA DE CÁLCULO'!B:H,7,)</f>
        <v>1.8835000000000002</v>
      </c>
      <c r="H213" s="192"/>
      <c r="I213" s="192"/>
      <c r="J213" s="91">
        <f t="shared" si="24"/>
        <v>0</v>
      </c>
      <c r="K213" s="367" t="e">
        <f t="shared" si="22"/>
        <v>#DIV/0!</v>
      </c>
    </row>
    <row r="214" spans="1:12" ht="15">
      <c r="B214" s="155" t="s">
        <v>526</v>
      </c>
      <c r="C214" s="68" t="s">
        <v>544</v>
      </c>
      <c r="D214" s="68" t="str">
        <f>VLOOKUP(B214,'MEMÓRIA DE CÁLCULO'!B:H,2,)</f>
        <v xml:space="preserve"> 101965</v>
      </c>
      <c r="E214" s="85" t="str">
        <f>VLOOKUP(B214,'MEMÓRIA DE CÁLCULO'!B:H,3,)</f>
        <v>PEITORIL DE MÁMORE / GRANITO</v>
      </c>
      <c r="F214" s="69" t="s">
        <v>17</v>
      </c>
      <c r="G214" s="69">
        <f>VLOOKUP(B214,'MEMÓRIA DE CÁLCULO'!B:H,7,)</f>
        <v>4.32</v>
      </c>
      <c r="H214" s="192"/>
      <c r="I214" s="192"/>
      <c r="J214" s="91">
        <f t="shared" si="24"/>
        <v>0</v>
      </c>
      <c r="K214" s="367" t="e">
        <f t="shared" si="22"/>
        <v>#DIV/0!</v>
      </c>
    </row>
    <row r="215" spans="1:12" ht="15">
      <c r="B215" s="155" t="s">
        <v>529</v>
      </c>
      <c r="C215" s="68" t="s">
        <v>545</v>
      </c>
      <c r="D215" s="68">
        <f>VLOOKUP(B215,'MEMÓRIA DE CÁLCULO'!B:H,2,)</f>
        <v>20600</v>
      </c>
      <c r="E215" s="85" t="str">
        <f>VLOOKUP(B215,'MEMÓRIA DE CÁLCULO'!B:H,3,)</f>
        <v>TAPUME EM CHAPA COMPENSADA RESINADA 6MM COM PORTÕES E FERRAGENS</v>
      </c>
      <c r="F215" s="69" t="s">
        <v>571</v>
      </c>
      <c r="G215" s="69">
        <f>VLOOKUP(B215,'MEMÓRIA DE CÁLCULO'!B:H,7,)</f>
        <v>36</v>
      </c>
      <c r="H215" s="192"/>
      <c r="I215" s="192"/>
      <c r="J215" s="91">
        <f t="shared" si="24"/>
        <v>0</v>
      </c>
      <c r="K215" s="367" t="e">
        <f t="shared" si="22"/>
        <v>#DIV/0!</v>
      </c>
    </row>
    <row r="216" spans="1:12">
      <c r="B216" s="26"/>
      <c r="D216" s="5"/>
      <c r="E216" s="239"/>
      <c r="H216" s="228"/>
      <c r="I216" s="228"/>
      <c r="J216" s="229"/>
      <c r="K216" s="150"/>
    </row>
    <row r="217" spans="1:12" s="255" customFormat="1" ht="15.6" customHeight="1">
      <c r="A217" s="10"/>
      <c r="B217" s="689" t="s">
        <v>572</v>
      </c>
      <c r="C217" s="690"/>
      <c r="D217" s="690"/>
      <c r="E217" s="690"/>
      <c r="F217" s="690"/>
      <c r="G217" s="690"/>
      <c r="H217" s="690"/>
      <c r="I217" s="690"/>
      <c r="J217" s="691"/>
      <c r="K217" s="683"/>
      <c r="L217" s="10"/>
    </row>
    <row r="218" spans="1:12" s="255" customFormat="1" ht="15.6" customHeight="1">
      <c r="A218" s="10"/>
      <c r="B218" s="2"/>
      <c r="C218" s="387"/>
      <c r="D218" s="388"/>
      <c r="E218" s="389"/>
      <c r="F218" s="390"/>
      <c r="G218" s="390"/>
      <c r="H218" s="391"/>
      <c r="I218" s="392" t="s">
        <v>573</v>
      </c>
      <c r="J218" s="465">
        <f>J209+J203+J196+J191+J178+J167+J161+J156+J151+J145+J89+J50+J35+J23+J18+J14+J8+J172+J185</f>
        <v>0</v>
      </c>
      <c r="K218" s="683"/>
      <c r="L218" s="10"/>
    </row>
    <row r="219" spans="1:12" s="255" customFormat="1" ht="15.6" customHeight="1">
      <c r="A219" s="10"/>
      <c r="B219" s="3"/>
      <c r="C219" s="1"/>
      <c r="D219" s="237"/>
      <c r="E219" s="393"/>
      <c r="F219" s="4"/>
      <c r="G219" s="4"/>
      <c r="H219" s="45"/>
      <c r="I219" s="394" t="s">
        <v>574</v>
      </c>
      <c r="J219" s="466">
        <f>ROUNDUP((J218*0.2388),2)</f>
        <v>0</v>
      </c>
      <c r="K219" s="683"/>
      <c r="L219" s="10"/>
    </row>
    <row r="220" spans="1:12" s="255" customFormat="1" ht="15.6" customHeight="1">
      <c r="A220" s="10"/>
      <c r="B220" s="3"/>
      <c r="C220" s="1"/>
      <c r="D220" s="237"/>
      <c r="E220" s="393"/>
      <c r="F220" s="395"/>
      <c r="G220" s="395"/>
      <c r="H220" s="396"/>
      <c r="I220" s="397" t="s">
        <v>575</v>
      </c>
      <c r="J220" s="466">
        <f>J218+J219</f>
        <v>0</v>
      </c>
      <c r="K220" s="683"/>
      <c r="L220" s="10"/>
    </row>
    <row r="221" spans="1:12" s="255" customFormat="1" ht="16.149999999999999" customHeight="1">
      <c r="A221" s="10"/>
      <c r="B221" s="398"/>
      <c r="C221" s="399"/>
      <c r="D221" s="400"/>
      <c r="E221" s="401"/>
      <c r="F221" s="402"/>
      <c r="G221" s="402"/>
      <c r="H221" s="403"/>
      <c r="I221" s="404"/>
      <c r="J221" s="405"/>
      <c r="K221" s="683"/>
      <c r="L221" s="10"/>
    </row>
    <row r="222" spans="1:12" s="255" customFormat="1" ht="13.9" customHeight="1">
      <c r="A222" s="10"/>
      <c r="B222" s="406"/>
      <c r="C222" s="407"/>
      <c r="D222" s="408"/>
      <c r="E222" s="409"/>
      <c r="F222" s="410"/>
      <c r="G222" s="407"/>
      <c r="H222" s="411"/>
      <c r="I222" s="412"/>
      <c r="J222" s="413"/>
      <c r="K222" s="683"/>
      <c r="L222" s="10"/>
    </row>
    <row r="223" spans="1:12" s="255" customFormat="1" ht="17.45" customHeight="1">
      <c r="A223" s="10"/>
      <c r="B223" s="3"/>
      <c r="C223" s="5"/>
      <c r="D223" s="414"/>
      <c r="E223" s="414" t="s">
        <v>576</v>
      </c>
      <c r="F223" s="687" t="s">
        <v>532</v>
      </c>
      <c r="G223" s="687"/>
      <c r="H223" s="687"/>
      <c r="I223" s="687"/>
      <c r="J223" s="688"/>
      <c r="K223" s="683"/>
      <c r="L223" s="10"/>
    </row>
    <row r="224" spans="1:12" s="255" customFormat="1" ht="17.45" customHeight="1">
      <c r="A224" s="10"/>
      <c r="B224" s="3"/>
      <c r="C224" s="1"/>
      <c r="D224" s="379"/>
      <c r="E224" s="380"/>
      <c r="F224" s="381"/>
      <c r="G224" s="684"/>
      <c r="H224" s="684"/>
      <c r="I224" s="684"/>
      <c r="J224" s="686"/>
      <c r="K224" s="683"/>
      <c r="L224" s="10"/>
    </row>
    <row r="225" spans="1:12" s="255" customFormat="1" ht="17.45" customHeight="1">
      <c r="A225" s="10"/>
      <c r="B225" s="3"/>
      <c r="C225" s="240"/>
      <c r="D225" s="41"/>
      <c r="E225" s="257" t="s">
        <v>577</v>
      </c>
      <c r="F225" s="256"/>
      <c r="G225" s="684" t="s">
        <v>533</v>
      </c>
      <c r="H225" s="684"/>
      <c r="I225" s="684"/>
      <c r="J225" s="685"/>
      <c r="K225" s="683"/>
      <c r="L225" s="10"/>
    </row>
    <row r="226" spans="1:12" ht="15">
      <c r="B226" s="25"/>
      <c r="C226" s="240"/>
      <c r="E226" s="175" t="s">
        <v>578</v>
      </c>
      <c r="F226" s="241"/>
    </row>
    <row r="227" spans="1:12" ht="15.75" thickBot="1">
      <c r="B227" s="145"/>
      <c r="C227" s="146"/>
      <c r="D227" s="147"/>
      <c r="E227" s="174" t="s">
        <v>579</v>
      </c>
      <c r="F227" s="148"/>
    </row>
    <row r="228" spans="1:12">
      <c r="D228" s="42"/>
      <c r="H228" s="44"/>
      <c r="I228" s="44"/>
      <c r="J228" s="27"/>
    </row>
    <row r="229" spans="1:12">
      <c r="D229" s="42"/>
    </row>
    <row r="230" spans="1:12">
      <c r="D230" s="42"/>
    </row>
    <row r="231" spans="1:12">
      <c r="D231" s="42"/>
      <c r="E231" s="24"/>
    </row>
  </sheetData>
  <sheetProtection formatCells="0" formatColumns="0" formatRows="0" insertColumns="0" insertRows="0" insertHyperlinks="0" deleteColumns="0" deleteRows="0" sort="0" autoFilter="0" pivotTables="0"/>
  <mergeCells count="57">
    <mergeCell ref="K217:K225"/>
    <mergeCell ref="C186:J186"/>
    <mergeCell ref="B185:I185"/>
    <mergeCell ref="B156:I156"/>
    <mergeCell ref="B145:I145"/>
    <mergeCell ref="B151:I151"/>
    <mergeCell ref="B191:I191"/>
    <mergeCell ref="B209:I209"/>
    <mergeCell ref="C210:J210"/>
    <mergeCell ref="G225:J225"/>
    <mergeCell ref="G224:J224"/>
    <mergeCell ref="F223:J223"/>
    <mergeCell ref="B217:J217"/>
    <mergeCell ref="C192:J192"/>
    <mergeCell ref="B196:I196"/>
    <mergeCell ref="B203:I203"/>
    <mergeCell ref="B208:J208"/>
    <mergeCell ref="C204:J204"/>
    <mergeCell ref="C197:J197"/>
    <mergeCell ref="E5:J5"/>
    <mergeCell ref="C179:J179"/>
    <mergeCell ref="B167:I167"/>
    <mergeCell ref="C162:J162"/>
    <mergeCell ref="C152:J152"/>
    <mergeCell ref="C157:J157"/>
    <mergeCell ref="B172:I172"/>
    <mergeCell ref="C173:J173"/>
    <mergeCell ref="B178:I178"/>
    <mergeCell ref="C168:J168"/>
    <mergeCell ref="B161:I161"/>
    <mergeCell ref="C51:J51"/>
    <mergeCell ref="E6:J6"/>
    <mergeCell ref="C146:J146"/>
    <mergeCell ref="K1:K5"/>
    <mergeCell ref="B23:I23"/>
    <mergeCell ref="B35:I35"/>
    <mergeCell ref="B22:J22"/>
    <mergeCell ref="B17:J17"/>
    <mergeCell ref="C9:J9"/>
    <mergeCell ref="C15:J15"/>
    <mergeCell ref="C19:J19"/>
    <mergeCell ref="B8:I8"/>
    <mergeCell ref="B18:I18"/>
    <mergeCell ref="B14:I14"/>
    <mergeCell ref="E1:J1"/>
    <mergeCell ref="E2:J2"/>
    <mergeCell ref="C36:J36"/>
    <mergeCell ref="B120:I120"/>
    <mergeCell ref="E3:J3"/>
    <mergeCell ref="E4:J4"/>
    <mergeCell ref="C24:J24"/>
    <mergeCell ref="B138:I138"/>
    <mergeCell ref="B50:I50"/>
    <mergeCell ref="C90:J90"/>
    <mergeCell ref="B89:I89"/>
    <mergeCell ref="B91:I91"/>
    <mergeCell ref="C49:J49"/>
  </mergeCells>
  <phoneticPr fontId="6" type="noConversion"/>
  <printOptions horizontalCentered="1"/>
  <pageMargins left="0.7" right="0.7" top="0.75" bottom="0.75" header="0.3" footer="0.3"/>
  <pageSetup paperSize="9" scale="49" fitToHeight="0" orientation="landscape" r:id="rId1"/>
  <headerFooter>
    <oddFooter>Página &amp;P de &amp;N</oddFooter>
  </headerFooter>
  <rowBreaks count="5" manualBreakCount="5">
    <brk id="53" min="1" max="9" man="1"/>
    <brk id="103" min="1" max="9" man="1"/>
    <brk id="137" min="1" max="9" man="1"/>
    <brk id="160" min="1" max="9" man="1"/>
    <brk id="202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W130"/>
  <sheetViews>
    <sheetView tabSelected="1" view="pageBreakPreview" topLeftCell="A65" zoomScale="85" zoomScaleNormal="85" zoomScaleSheetLayoutView="85" workbookViewId="0">
      <selection activeCell="D113" sqref="D113"/>
    </sheetView>
  </sheetViews>
  <sheetFormatPr defaultColWidth="9.140625" defaultRowHeight="15"/>
  <cols>
    <col min="1" max="1" width="9.140625" style="35"/>
    <col min="2" max="2" width="9.140625" style="34"/>
    <col min="3" max="3" width="81" style="7" customWidth="1"/>
    <col min="4" max="4" width="20" style="4" customWidth="1"/>
    <col min="5" max="5" width="34.85546875" style="8" customWidth="1"/>
    <col min="6" max="6" width="9.28515625" style="35" customWidth="1"/>
    <col min="7" max="7" width="9.140625" style="35"/>
    <col min="8" max="8" width="9.7109375" style="35" customWidth="1"/>
    <col min="9" max="9" width="10.42578125" style="35" customWidth="1"/>
    <col min="10" max="14" width="9.140625" style="35"/>
    <col min="15" max="16384" width="9.140625" style="6"/>
  </cols>
  <sheetData>
    <row r="1" spans="2:101" s="35" customFormat="1">
      <c r="B1" s="36"/>
      <c r="C1" s="37"/>
      <c r="D1" s="1"/>
      <c r="E1" s="38"/>
      <c r="G1" s="6"/>
      <c r="H1" s="6"/>
    </row>
    <row r="2" spans="2:101" s="35" customFormat="1" ht="15.75" thickBot="1">
      <c r="B2" s="36"/>
      <c r="C2" s="37"/>
      <c r="D2" s="1"/>
      <c r="E2" s="3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s="35" customFormat="1">
      <c r="B3" s="36"/>
      <c r="C3" s="37"/>
      <c r="D3" s="1"/>
      <c r="E3" s="3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</row>
    <row r="4" spans="2:101" s="35" customFormat="1" ht="15.75">
      <c r="B4" s="266"/>
      <c r="C4" s="724" t="s">
        <v>580</v>
      </c>
      <c r="D4" s="724"/>
      <c r="E4" s="72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 ht="15.75">
      <c r="B5" s="167"/>
      <c r="C5" s="692" t="s">
        <v>0</v>
      </c>
      <c r="D5" s="692"/>
      <c r="E5" s="693"/>
      <c r="F5" s="415"/>
      <c r="G5" s="303"/>
      <c r="H5" s="303"/>
      <c r="I5" s="6"/>
      <c r="J5" s="6"/>
      <c r="K5" s="6"/>
      <c r="L5" s="6"/>
      <c r="M5" s="6"/>
      <c r="N5" s="6"/>
    </row>
    <row r="6" spans="2:101" ht="15.75">
      <c r="B6" s="167"/>
      <c r="C6" s="692" t="s">
        <v>581</v>
      </c>
      <c r="D6" s="692"/>
      <c r="E6" s="693"/>
      <c r="F6" s="415"/>
      <c r="G6" s="303"/>
      <c r="H6" s="303"/>
      <c r="I6" s="6"/>
      <c r="J6" s="6"/>
      <c r="K6" s="6"/>
      <c r="L6" s="6"/>
      <c r="M6" s="6"/>
      <c r="N6" s="6"/>
    </row>
    <row r="7" spans="2:101" ht="15.75">
      <c r="B7" s="168"/>
      <c r="C7" s="727" t="s">
        <v>2</v>
      </c>
      <c r="D7" s="727"/>
      <c r="E7" s="728"/>
      <c r="F7" s="415"/>
      <c r="G7" s="303"/>
      <c r="H7" s="303"/>
      <c r="I7" s="6"/>
      <c r="J7" s="6"/>
      <c r="K7" s="6"/>
      <c r="L7" s="6"/>
      <c r="M7" s="6"/>
      <c r="N7" s="6"/>
    </row>
    <row r="8" spans="2:101" ht="15.75">
      <c r="B8" s="267"/>
      <c r="C8" s="727" t="s">
        <v>582</v>
      </c>
      <c r="D8" s="727"/>
      <c r="E8" s="728"/>
      <c r="F8" s="415"/>
      <c r="G8" s="303"/>
      <c r="H8" s="303"/>
      <c r="I8" s="6"/>
      <c r="J8" s="6"/>
      <c r="K8" s="6"/>
      <c r="L8" s="6"/>
      <c r="M8" s="6"/>
      <c r="N8" s="6"/>
    </row>
    <row r="9" spans="2:101">
      <c r="B9" s="731" t="s">
        <v>583</v>
      </c>
      <c r="C9" s="732"/>
      <c r="D9" s="732"/>
      <c r="E9" s="733"/>
      <c r="G9" s="6"/>
      <c r="H9" s="6"/>
      <c r="I9" s="6"/>
      <c r="J9" s="6"/>
      <c r="K9" s="6"/>
      <c r="L9" s="6"/>
      <c r="M9" s="6"/>
      <c r="N9" s="6"/>
    </row>
    <row r="10" spans="2:101">
      <c r="B10" s="700" t="s">
        <v>584</v>
      </c>
      <c r="C10" s="701"/>
      <c r="D10" s="701"/>
      <c r="E10" s="702"/>
      <c r="G10" s="6"/>
      <c r="H10" s="6"/>
      <c r="I10" s="6"/>
      <c r="J10" s="6"/>
      <c r="K10" s="6"/>
      <c r="L10" s="6"/>
      <c r="M10" s="6"/>
      <c r="N10" s="6"/>
    </row>
    <row r="11" spans="2:101" ht="41.25" customHeight="1">
      <c r="B11" s="737" t="s">
        <v>585</v>
      </c>
      <c r="C11" s="735"/>
      <c r="D11" s="735"/>
      <c r="E11" s="736"/>
      <c r="G11" s="6"/>
      <c r="H11" s="6"/>
      <c r="I11" s="6"/>
      <c r="J11" s="6"/>
      <c r="K11" s="6"/>
      <c r="L11" s="6"/>
      <c r="M11" s="6"/>
      <c r="N11" s="6"/>
    </row>
    <row r="12" spans="2:101">
      <c r="B12" s="28" t="s">
        <v>7</v>
      </c>
      <c r="C12" s="29" t="s">
        <v>586</v>
      </c>
      <c r="D12" s="30" t="s">
        <v>587</v>
      </c>
      <c r="E12" s="31" t="s">
        <v>588</v>
      </c>
      <c r="G12" s="6"/>
      <c r="H12" s="6"/>
      <c r="I12" s="6"/>
      <c r="J12" s="6"/>
      <c r="K12" s="6"/>
      <c r="L12" s="6"/>
      <c r="M12" s="6"/>
      <c r="N12" s="6"/>
    </row>
    <row r="13" spans="2:101">
      <c r="B13" s="32">
        <v>1</v>
      </c>
      <c r="C13" s="98" t="s">
        <v>589</v>
      </c>
      <c r="D13" s="43" t="s">
        <v>171</v>
      </c>
      <c r="E13" s="33">
        <v>26.62</v>
      </c>
      <c r="G13" s="6"/>
      <c r="H13" s="6"/>
      <c r="I13" s="6"/>
      <c r="J13" s="6"/>
      <c r="K13" s="6"/>
      <c r="L13" s="6"/>
      <c r="M13" s="6"/>
      <c r="N13" s="6"/>
    </row>
    <row r="14" spans="2:101">
      <c r="B14" s="700" t="s">
        <v>590</v>
      </c>
      <c r="C14" s="701"/>
      <c r="D14" s="701"/>
      <c r="E14" s="702"/>
      <c r="G14" s="6"/>
      <c r="H14" s="6"/>
      <c r="I14" s="6"/>
      <c r="J14" s="6"/>
      <c r="K14" s="6"/>
      <c r="L14" s="6"/>
      <c r="M14" s="6"/>
      <c r="N14" s="6"/>
    </row>
    <row r="15" spans="2:101" ht="43.5" customHeight="1">
      <c r="B15" s="737" t="s">
        <v>591</v>
      </c>
      <c r="C15" s="735"/>
      <c r="D15" s="735"/>
      <c r="E15" s="736"/>
      <c r="G15" s="6"/>
      <c r="H15" s="6"/>
      <c r="I15" s="6"/>
      <c r="J15" s="6"/>
      <c r="K15" s="6"/>
      <c r="L15" s="6"/>
      <c r="M15" s="6"/>
      <c r="N15" s="6"/>
    </row>
    <row r="16" spans="2:101">
      <c r="B16" s="28" t="s">
        <v>7</v>
      </c>
      <c r="C16" s="29" t="s">
        <v>586</v>
      </c>
      <c r="D16" s="30" t="s">
        <v>587</v>
      </c>
      <c r="E16" s="31" t="s">
        <v>588</v>
      </c>
      <c r="G16" s="6"/>
      <c r="H16" s="6"/>
      <c r="I16" s="6"/>
      <c r="J16" s="6"/>
      <c r="K16" s="6"/>
      <c r="L16" s="6"/>
      <c r="M16" s="6"/>
      <c r="N16" s="6"/>
    </row>
    <row r="17" spans="2:101">
      <c r="B17" s="32">
        <v>1</v>
      </c>
      <c r="C17" s="98" t="s">
        <v>592</v>
      </c>
      <c r="D17" s="43" t="s">
        <v>171</v>
      </c>
      <c r="E17" s="33">
        <v>26.35</v>
      </c>
      <c r="G17" s="6"/>
      <c r="H17" s="6"/>
      <c r="I17" s="6"/>
      <c r="J17" s="6"/>
      <c r="K17" s="6"/>
      <c r="L17" s="6"/>
      <c r="M17" s="6"/>
      <c r="N17" s="6"/>
    </row>
    <row r="18" spans="2:101">
      <c r="B18" s="700" t="s">
        <v>593</v>
      </c>
      <c r="C18" s="701"/>
      <c r="D18" s="701"/>
      <c r="E18" s="702"/>
      <c r="G18" s="6"/>
      <c r="H18" s="6"/>
      <c r="I18" s="6"/>
      <c r="J18" s="6"/>
      <c r="K18" s="6"/>
      <c r="L18" s="6"/>
      <c r="M18" s="6"/>
      <c r="N18" s="6"/>
    </row>
    <row r="19" spans="2:101" ht="43.5" customHeight="1">
      <c r="B19" s="734" t="s">
        <v>594</v>
      </c>
      <c r="C19" s="735"/>
      <c r="D19" s="735"/>
      <c r="E19" s="736"/>
      <c r="G19" s="6"/>
      <c r="H19" s="6"/>
      <c r="I19" s="6"/>
      <c r="J19" s="6"/>
      <c r="K19" s="6"/>
      <c r="L19" s="6"/>
      <c r="M19" s="6"/>
      <c r="N19" s="6"/>
    </row>
    <row r="20" spans="2:101">
      <c r="B20" s="28" t="s">
        <v>7</v>
      </c>
      <c r="C20" s="29" t="s">
        <v>586</v>
      </c>
      <c r="D20" s="30" t="s">
        <v>587</v>
      </c>
      <c r="E20" s="31" t="s">
        <v>588</v>
      </c>
      <c r="G20" s="6"/>
      <c r="H20" s="6"/>
      <c r="I20" s="6"/>
      <c r="J20" s="6"/>
      <c r="K20" s="6"/>
      <c r="L20" s="6"/>
      <c r="M20" s="6"/>
      <c r="N20" s="6"/>
    </row>
    <row r="21" spans="2:101">
      <c r="B21" s="32">
        <v>1</v>
      </c>
      <c r="C21" s="98" t="s">
        <v>595</v>
      </c>
      <c r="D21" s="43" t="s">
        <v>171</v>
      </c>
      <c r="E21" s="33">
        <v>26.9</v>
      </c>
      <c r="G21" s="6"/>
      <c r="H21" s="6"/>
      <c r="I21" s="6"/>
      <c r="J21" s="6"/>
      <c r="K21" s="6"/>
      <c r="L21" s="6"/>
      <c r="M21" s="6"/>
      <c r="N21" s="6"/>
    </row>
    <row r="22" spans="2:101">
      <c r="B22" s="39"/>
      <c r="C22" s="729" t="s">
        <v>596</v>
      </c>
      <c r="D22" s="730"/>
      <c r="E22" s="143">
        <f>AVERAGE(E13,E17,E21)</f>
        <v>26.623333333333335</v>
      </c>
      <c r="G22" s="6"/>
      <c r="H22" s="6"/>
      <c r="I22" s="6"/>
      <c r="J22" s="6"/>
      <c r="K22" s="6"/>
      <c r="L22" s="6"/>
      <c r="M22" s="6"/>
      <c r="N22" s="6"/>
    </row>
    <row r="23" spans="2:101" s="35" customFormat="1">
      <c r="B23" s="697" t="s">
        <v>597</v>
      </c>
      <c r="C23" s="698"/>
      <c r="D23" s="698"/>
      <c r="E23" s="69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</row>
    <row r="24" spans="2:101" s="35" customFormat="1">
      <c r="B24" s="700" t="s">
        <v>584</v>
      </c>
      <c r="C24" s="701"/>
      <c r="D24" s="701"/>
      <c r="E24" s="702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</row>
    <row r="25" spans="2:101" s="35" customFormat="1" ht="41.25" customHeight="1">
      <c r="B25" s="714" t="s">
        <v>598</v>
      </c>
      <c r="C25" s="715"/>
      <c r="D25" s="715"/>
      <c r="E25" s="71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</row>
    <row r="26" spans="2:101" s="35" customFormat="1">
      <c r="B26" s="28" t="s">
        <v>7</v>
      </c>
      <c r="C26" s="29" t="s">
        <v>586</v>
      </c>
      <c r="D26" s="30" t="s">
        <v>587</v>
      </c>
      <c r="E26" s="31" t="s">
        <v>588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</row>
    <row r="27" spans="2:101" s="35" customFormat="1">
      <c r="B27" s="102">
        <v>2</v>
      </c>
      <c r="C27" s="11" t="s">
        <v>599</v>
      </c>
      <c r="D27" s="103" t="s">
        <v>171</v>
      </c>
      <c r="E27" s="104">
        <v>14.29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</row>
    <row r="28" spans="2:101" s="35" customFormat="1">
      <c r="B28" s="700" t="s">
        <v>590</v>
      </c>
      <c r="C28" s="701"/>
      <c r="D28" s="701"/>
      <c r="E28" s="702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</row>
    <row r="29" spans="2:101" s="35" customFormat="1" ht="44.25" customHeight="1">
      <c r="B29" s="714" t="s">
        <v>600</v>
      </c>
      <c r="C29" s="715"/>
      <c r="D29" s="715"/>
      <c r="E29" s="71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</row>
    <row r="30" spans="2:101" s="35" customFormat="1">
      <c r="B30" s="28" t="s">
        <v>7</v>
      </c>
      <c r="C30" s="29" t="s">
        <v>586</v>
      </c>
      <c r="D30" s="30" t="s">
        <v>587</v>
      </c>
      <c r="E30" s="31" t="s">
        <v>588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</row>
    <row r="31" spans="2:101" s="35" customFormat="1">
      <c r="B31" s="32">
        <v>2</v>
      </c>
      <c r="C31" s="11" t="s">
        <v>601</v>
      </c>
      <c r="D31" s="43" t="s">
        <v>171</v>
      </c>
      <c r="E31" s="33">
        <v>10.56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</row>
    <row r="32" spans="2:101" s="35" customFormat="1">
      <c r="B32" s="700" t="s">
        <v>593</v>
      </c>
      <c r="C32" s="701"/>
      <c r="D32" s="701"/>
      <c r="E32" s="702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</row>
    <row r="33" spans="2:101" s="35" customFormat="1" ht="42" customHeight="1">
      <c r="B33" s="726" t="s">
        <v>602</v>
      </c>
      <c r="C33" s="704"/>
      <c r="D33" s="704"/>
      <c r="E33" s="70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</row>
    <row r="34" spans="2:101" s="35" customFormat="1">
      <c r="B34" s="28" t="s">
        <v>7</v>
      </c>
      <c r="C34" s="29" t="s">
        <v>586</v>
      </c>
      <c r="D34" s="30" t="s">
        <v>587</v>
      </c>
      <c r="E34" s="31" t="s">
        <v>588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</row>
    <row r="35" spans="2:101" s="35" customFormat="1">
      <c r="B35" s="32">
        <v>2</v>
      </c>
      <c r="C35" s="11" t="s">
        <v>603</v>
      </c>
      <c r="D35" s="43" t="s">
        <v>171</v>
      </c>
      <c r="E35" s="33">
        <v>16.77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</row>
    <row r="36" spans="2:101" s="35" customFormat="1">
      <c r="B36" s="3"/>
      <c r="C36" s="717" t="s">
        <v>596</v>
      </c>
      <c r="D36" s="718"/>
      <c r="E36" s="143">
        <f>AVERAGE(E27,E31,E35)</f>
        <v>13.873333333333335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</row>
    <row r="37" spans="2:101" s="35" customFormat="1">
      <c r="B37" s="697" t="s">
        <v>604</v>
      </c>
      <c r="C37" s="698"/>
      <c r="D37" s="698"/>
      <c r="E37" s="69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</row>
    <row r="38" spans="2:101" s="35" customFormat="1">
      <c r="B38" s="700" t="s">
        <v>584</v>
      </c>
      <c r="C38" s="701"/>
      <c r="D38" s="701"/>
      <c r="E38" s="70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</row>
    <row r="39" spans="2:101" s="35" customFormat="1" ht="41.25" customHeight="1">
      <c r="B39" s="703" t="s">
        <v>605</v>
      </c>
      <c r="C39" s="704"/>
      <c r="D39" s="704"/>
      <c r="E39" s="70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</row>
    <row r="40" spans="2:101" s="35" customFormat="1">
      <c r="B40" s="28" t="s">
        <v>7</v>
      </c>
      <c r="C40" s="29" t="s">
        <v>586</v>
      </c>
      <c r="D40" s="30" t="s">
        <v>587</v>
      </c>
      <c r="E40" s="31" t="s">
        <v>588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</row>
    <row r="41" spans="2:101" s="35" customFormat="1">
      <c r="B41" s="214">
        <v>3</v>
      </c>
      <c r="C41" s="213" t="s">
        <v>606</v>
      </c>
      <c r="D41" s="215" t="s">
        <v>607</v>
      </c>
      <c r="E41" s="216">
        <v>6.9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</row>
    <row r="42" spans="2:101" s="35" customFormat="1">
      <c r="B42" s="706" t="s">
        <v>590</v>
      </c>
      <c r="C42" s="707"/>
      <c r="D42" s="707"/>
      <c r="E42" s="70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</row>
    <row r="43" spans="2:101" s="35" customFormat="1" ht="43.15" customHeight="1">
      <c r="B43" s="709" t="s">
        <v>608</v>
      </c>
      <c r="C43" s="710"/>
      <c r="D43" s="710"/>
      <c r="E43" s="71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</row>
    <row r="44" spans="2:101" s="35" customFormat="1">
      <c r="B44" s="28" t="s">
        <v>7</v>
      </c>
      <c r="C44" s="29" t="s">
        <v>586</v>
      </c>
      <c r="D44" s="30" t="s">
        <v>587</v>
      </c>
      <c r="E44" s="31" t="s">
        <v>588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</row>
    <row r="45" spans="2:101" s="35" customFormat="1">
      <c r="B45" s="140">
        <v>3</v>
      </c>
      <c r="C45" s="218" t="s">
        <v>609</v>
      </c>
      <c r="D45" s="141" t="s">
        <v>607</v>
      </c>
      <c r="E45" s="142">
        <v>7.9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</row>
    <row r="46" spans="2:101" s="35" customFormat="1">
      <c r="B46" s="712" t="s">
        <v>593</v>
      </c>
      <c r="C46" s="707"/>
      <c r="D46" s="707"/>
      <c r="E46" s="713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</row>
    <row r="47" spans="2:101" s="35" customFormat="1" ht="48.75" customHeight="1">
      <c r="B47" s="714" t="s">
        <v>610</v>
      </c>
      <c r="C47" s="715"/>
      <c r="D47" s="715"/>
      <c r="E47" s="716"/>
      <c r="G47" s="6"/>
      <c r="H47" s="242"/>
      <c r="I47" s="260"/>
      <c r="J47" s="26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</row>
    <row r="48" spans="2:101" s="35" customFormat="1">
      <c r="B48" s="28" t="s">
        <v>7</v>
      </c>
      <c r="C48" s="29" t="s">
        <v>586</v>
      </c>
      <c r="D48" s="30" t="s">
        <v>587</v>
      </c>
      <c r="E48" s="31" t="s">
        <v>588</v>
      </c>
      <c r="G48" s="6"/>
      <c r="H48" s="242"/>
      <c r="I48" s="260"/>
      <c r="J48" s="26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</row>
    <row r="49" spans="2:101" s="35" customFormat="1">
      <c r="B49" s="140">
        <v>3</v>
      </c>
      <c r="C49" s="10" t="s">
        <v>611</v>
      </c>
      <c r="D49" s="141" t="s">
        <v>607</v>
      </c>
      <c r="E49" s="142">
        <v>10.99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</row>
    <row r="50" spans="2:101">
      <c r="B50" s="39"/>
      <c r="C50" s="717" t="s">
        <v>596</v>
      </c>
      <c r="D50" s="718"/>
      <c r="E50" s="143">
        <f>AVERAGE(E49,E45,E41)</f>
        <v>8.5966666666666658</v>
      </c>
      <c r="G50" s="6"/>
      <c r="H50" s="6"/>
      <c r="I50" s="6"/>
      <c r="J50" s="6"/>
      <c r="K50" s="6"/>
      <c r="L50" s="6"/>
      <c r="M50" s="6"/>
      <c r="N50" s="6"/>
    </row>
    <row r="51" spans="2:101">
      <c r="B51" s="697" t="s">
        <v>612</v>
      </c>
      <c r="C51" s="698"/>
      <c r="D51" s="698"/>
      <c r="E51" s="699"/>
      <c r="G51" s="6"/>
      <c r="H51" s="6"/>
      <c r="I51" s="6"/>
      <c r="J51" s="6"/>
      <c r="K51" s="6"/>
      <c r="L51" s="6"/>
      <c r="M51" s="6"/>
      <c r="N51" s="6"/>
    </row>
    <row r="52" spans="2:101">
      <c r="B52" s="700" t="s">
        <v>584</v>
      </c>
      <c r="C52" s="701"/>
      <c r="D52" s="701"/>
      <c r="E52" s="702"/>
      <c r="G52" s="6"/>
      <c r="H52" s="6"/>
      <c r="I52" s="6"/>
      <c r="J52" s="6"/>
      <c r="K52" s="6"/>
      <c r="L52" s="6"/>
      <c r="M52" s="6"/>
      <c r="N52" s="6"/>
    </row>
    <row r="53" spans="2:101" ht="41.25" customHeight="1">
      <c r="B53" s="703" t="s">
        <v>613</v>
      </c>
      <c r="C53" s="722"/>
      <c r="D53" s="722"/>
      <c r="E53" s="723"/>
      <c r="G53" s="6"/>
      <c r="H53" s="6"/>
      <c r="I53" s="6"/>
      <c r="J53" s="6"/>
      <c r="K53" s="6"/>
      <c r="L53" s="6"/>
      <c r="M53" s="6"/>
      <c r="N53" s="6"/>
    </row>
    <row r="54" spans="2:101">
      <c r="B54" s="28" t="s">
        <v>7</v>
      </c>
      <c r="C54" s="29" t="s">
        <v>586</v>
      </c>
      <c r="D54" s="30" t="s">
        <v>587</v>
      </c>
      <c r="E54" s="31" t="s">
        <v>588</v>
      </c>
      <c r="G54" s="6"/>
      <c r="H54" s="6"/>
      <c r="I54" s="6"/>
      <c r="J54" s="6"/>
      <c r="K54" s="6"/>
      <c r="L54" s="6"/>
      <c r="M54" s="6"/>
      <c r="N54" s="6"/>
    </row>
    <row r="55" spans="2:101">
      <c r="B55" s="214">
        <v>4</v>
      </c>
      <c r="C55" s="71" t="s">
        <v>614</v>
      </c>
      <c r="D55" s="215" t="s">
        <v>607</v>
      </c>
      <c r="E55" s="216">
        <v>1079.99</v>
      </c>
      <c r="G55" s="6"/>
      <c r="H55" s="6"/>
      <c r="I55" s="6"/>
      <c r="J55" s="6"/>
      <c r="K55" s="6"/>
      <c r="L55" s="6"/>
      <c r="M55" s="6"/>
      <c r="N55" s="6"/>
    </row>
    <row r="56" spans="2:101">
      <c r="B56" s="706" t="s">
        <v>590</v>
      </c>
      <c r="C56" s="707"/>
      <c r="D56" s="707"/>
      <c r="E56" s="708"/>
      <c r="G56" s="6"/>
      <c r="H56" s="6"/>
      <c r="I56" s="6"/>
      <c r="J56" s="6"/>
      <c r="K56" s="6"/>
      <c r="L56" s="6"/>
      <c r="M56" s="6"/>
      <c r="N56" s="6"/>
    </row>
    <row r="57" spans="2:101" ht="41.25" customHeight="1">
      <c r="B57" s="709" t="s">
        <v>615</v>
      </c>
      <c r="C57" s="710"/>
      <c r="D57" s="710"/>
      <c r="E57" s="711"/>
      <c r="G57" s="6"/>
      <c r="H57" s="6"/>
      <c r="I57" s="6"/>
      <c r="J57" s="6"/>
      <c r="K57" s="6"/>
      <c r="L57" s="6"/>
      <c r="M57" s="6"/>
      <c r="N57" s="6"/>
    </row>
    <row r="58" spans="2:101">
      <c r="B58" s="28" t="s">
        <v>7</v>
      </c>
      <c r="C58" s="29" t="s">
        <v>586</v>
      </c>
      <c r="D58" s="30" t="s">
        <v>587</v>
      </c>
      <c r="E58" s="31" t="s">
        <v>588</v>
      </c>
      <c r="G58" s="6"/>
      <c r="H58" s="6"/>
      <c r="I58" s="6"/>
      <c r="J58" s="6"/>
      <c r="K58" s="6"/>
      <c r="L58" s="6"/>
      <c r="M58" s="6"/>
      <c r="N58" s="6"/>
    </row>
    <row r="59" spans="2:101">
      <c r="B59" s="140">
        <v>4</v>
      </c>
      <c r="C59" s="71" t="s">
        <v>614</v>
      </c>
      <c r="D59" s="141" t="s">
        <v>607</v>
      </c>
      <c r="E59" s="142">
        <v>1234.99</v>
      </c>
      <c r="G59" s="6"/>
      <c r="H59" s="6"/>
      <c r="I59" s="6"/>
      <c r="J59" s="6"/>
      <c r="K59" s="6"/>
      <c r="L59" s="6"/>
      <c r="M59" s="6"/>
      <c r="N59" s="6"/>
    </row>
    <row r="60" spans="2:101">
      <c r="B60" s="712" t="s">
        <v>593</v>
      </c>
      <c r="C60" s="707"/>
      <c r="D60" s="707"/>
      <c r="E60" s="713"/>
      <c r="G60" s="6"/>
      <c r="H60" s="6"/>
      <c r="I60" s="6"/>
      <c r="J60" s="6"/>
      <c r="K60" s="6"/>
      <c r="L60" s="6"/>
      <c r="M60" s="6"/>
      <c r="N60" s="6"/>
    </row>
    <row r="61" spans="2:101" ht="41.25" customHeight="1">
      <c r="B61" s="714" t="s">
        <v>616</v>
      </c>
      <c r="C61" s="715"/>
      <c r="D61" s="715"/>
      <c r="E61" s="716"/>
      <c r="G61" s="6"/>
      <c r="H61" s="6"/>
      <c r="I61" s="6"/>
      <c r="J61" s="6"/>
      <c r="K61" s="6"/>
      <c r="L61" s="6"/>
      <c r="M61" s="6"/>
      <c r="N61" s="6"/>
    </row>
    <row r="62" spans="2:101">
      <c r="B62" s="28" t="s">
        <v>7</v>
      </c>
      <c r="C62" s="29" t="s">
        <v>586</v>
      </c>
      <c r="D62" s="30" t="s">
        <v>587</v>
      </c>
      <c r="E62" s="31" t="s">
        <v>588</v>
      </c>
      <c r="G62" s="6"/>
      <c r="H62" s="6"/>
      <c r="I62" s="6"/>
      <c r="J62" s="6"/>
      <c r="K62" s="6"/>
      <c r="L62" s="6"/>
      <c r="M62" s="6"/>
      <c r="N62" s="6"/>
    </row>
    <row r="63" spans="2:101">
      <c r="B63" s="463">
        <v>4</v>
      </c>
      <c r="C63" s="71" t="s">
        <v>614</v>
      </c>
      <c r="D63" s="141" t="s">
        <v>607</v>
      </c>
      <c r="E63" s="142">
        <v>799.9</v>
      </c>
      <c r="G63" s="6"/>
      <c r="H63" s="6"/>
      <c r="I63" s="6"/>
      <c r="J63" s="6"/>
      <c r="K63" s="6"/>
      <c r="L63" s="6"/>
      <c r="M63" s="6"/>
      <c r="N63" s="6"/>
    </row>
    <row r="64" spans="2:101">
      <c r="B64" s="39"/>
      <c r="C64" s="717" t="s">
        <v>596</v>
      </c>
      <c r="D64" s="718"/>
      <c r="E64" s="143">
        <f>AVERAGE(E63,E59,E55)</f>
        <v>1038.2933333333333</v>
      </c>
      <c r="G64" s="6"/>
      <c r="H64" s="6"/>
      <c r="I64" s="6"/>
      <c r="J64" s="6"/>
      <c r="K64" s="6"/>
      <c r="L64" s="6"/>
      <c r="M64" s="6"/>
      <c r="N64" s="6"/>
    </row>
    <row r="65" spans="2:14">
      <c r="B65" s="697" t="s">
        <v>617</v>
      </c>
      <c r="C65" s="698"/>
      <c r="D65" s="698"/>
      <c r="E65" s="699"/>
      <c r="G65" s="6"/>
      <c r="H65" s="6"/>
      <c r="I65" s="6"/>
      <c r="J65" s="6"/>
      <c r="K65" s="6"/>
      <c r="L65" s="6"/>
      <c r="M65" s="6"/>
      <c r="N65" s="6"/>
    </row>
    <row r="66" spans="2:14">
      <c r="B66" s="700" t="s">
        <v>584</v>
      </c>
      <c r="C66" s="701"/>
      <c r="D66" s="701"/>
      <c r="E66" s="702"/>
      <c r="G66" s="6"/>
      <c r="H66" s="6"/>
      <c r="I66" s="6"/>
      <c r="J66" s="6"/>
      <c r="K66" s="6"/>
      <c r="L66" s="6"/>
      <c r="M66" s="6"/>
      <c r="N66" s="6"/>
    </row>
    <row r="67" spans="2:14" ht="41.25" customHeight="1">
      <c r="B67" s="738" t="s">
        <v>618</v>
      </c>
      <c r="C67" s="704"/>
      <c r="D67" s="704"/>
      <c r="E67" s="705"/>
      <c r="G67" s="6"/>
      <c r="H67" s="6"/>
      <c r="I67" s="6"/>
      <c r="J67" s="6"/>
      <c r="K67" s="6"/>
      <c r="L67" s="6"/>
      <c r="M67" s="6"/>
      <c r="N67" s="6"/>
    </row>
    <row r="68" spans="2:14">
      <c r="B68" s="28" t="s">
        <v>7</v>
      </c>
      <c r="C68" s="29" t="s">
        <v>586</v>
      </c>
      <c r="D68" s="30" t="s">
        <v>587</v>
      </c>
      <c r="E68" s="31" t="s">
        <v>588</v>
      </c>
      <c r="G68" s="6"/>
      <c r="H68" s="6"/>
      <c r="I68" s="6"/>
      <c r="J68" s="6"/>
      <c r="K68" s="6"/>
      <c r="L68" s="6"/>
      <c r="M68" s="6"/>
      <c r="N68" s="6"/>
    </row>
    <row r="69" spans="2:14">
      <c r="B69" s="214">
        <v>5</v>
      </c>
      <c r="C69" s="213" t="s">
        <v>619</v>
      </c>
      <c r="D69" s="215" t="s">
        <v>607</v>
      </c>
      <c r="E69" s="216">
        <v>8</v>
      </c>
      <c r="G69" s="6"/>
      <c r="H69" s="6"/>
      <c r="I69" s="6"/>
      <c r="J69" s="6"/>
      <c r="K69" s="6"/>
      <c r="L69" s="6"/>
      <c r="M69" s="6"/>
      <c r="N69" s="6"/>
    </row>
    <row r="70" spans="2:14">
      <c r="B70" s="706" t="s">
        <v>590</v>
      </c>
      <c r="C70" s="707"/>
      <c r="D70" s="707"/>
      <c r="E70" s="708"/>
      <c r="G70" s="6"/>
      <c r="H70" s="6"/>
      <c r="I70" s="6"/>
      <c r="J70" s="6"/>
      <c r="K70" s="6"/>
      <c r="L70" s="6"/>
      <c r="M70" s="6"/>
      <c r="N70" s="6"/>
    </row>
    <row r="71" spans="2:14" ht="42" customHeight="1">
      <c r="B71" s="739" t="s">
        <v>620</v>
      </c>
      <c r="C71" s="740"/>
      <c r="D71" s="740"/>
      <c r="E71" s="741"/>
      <c r="G71" s="6"/>
      <c r="H71" s="6"/>
      <c r="I71" s="6"/>
      <c r="J71" s="6"/>
      <c r="K71" s="6"/>
      <c r="L71" s="6"/>
      <c r="M71" s="6"/>
      <c r="N71" s="6"/>
    </row>
    <row r="72" spans="2:14">
      <c r="B72" s="28" t="s">
        <v>7</v>
      </c>
      <c r="C72" s="29" t="s">
        <v>586</v>
      </c>
      <c r="D72" s="30" t="s">
        <v>587</v>
      </c>
      <c r="E72" s="31" t="s">
        <v>588</v>
      </c>
      <c r="G72" s="6"/>
      <c r="H72" s="6"/>
      <c r="I72" s="6"/>
      <c r="J72" s="6"/>
      <c r="K72" s="6"/>
      <c r="L72" s="6"/>
      <c r="M72" s="6"/>
      <c r="N72" s="6"/>
    </row>
    <row r="73" spans="2:14">
      <c r="B73" s="140">
        <v>5</v>
      </c>
      <c r="C73" s="213" t="s">
        <v>619</v>
      </c>
      <c r="D73" s="141" t="s">
        <v>607</v>
      </c>
      <c r="E73" s="142">
        <v>9.5</v>
      </c>
      <c r="G73" s="6"/>
      <c r="H73" s="6"/>
      <c r="I73" s="6"/>
      <c r="J73" s="6"/>
      <c r="K73" s="6"/>
      <c r="L73" s="6"/>
      <c r="M73" s="6"/>
      <c r="N73" s="6"/>
    </row>
    <row r="74" spans="2:14">
      <c r="B74" s="712" t="s">
        <v>593</v>
      </c>
      <c r="C74" s="707"/>
      <c r="D74" s="707"/>
      <c r="E74" s="713"/>
      <c r="G74" s="6"/>
      <c r="H74" s="6"/>
      <c r="I74" s="6"/>
      <c r="J74" s="6"/>
      <c r="K74" s="6"/>
      <c r="L74" s="6"/>
      <c r="M74" s="6"/>
      <c r="N74" s="6"/>
    </row>
    <row r="75" spans="2:14" ht="41.25" customHeight="1">
      <c r="B75" s="737" t="s">
        <v>591</v>
      </c>
      <c r="C75" s="735"/>
      <c r="D75" s="735"/>
      <c r="E75" s="736"/>
      <c r="G75" s="6"/>
      <c r="H75" s="6"/>
      <c r="I75" s="6"/>
      <c r="J75" s="6"/>
      <c r="K75" s="6"/>
      <c r="L75" s="6"/>
      <c r="M75" s="6"/>
      <c r="N75" s="6"/>
    </row>
    <row r="76" spans="2:14">
      <c r="B76" s="28" t="s">
        <v>7</v>
      </c>
      <c r="C76" s="29" t="s">
        <v>586</v>
      </c>
      <c r="D76" s="30" t="s">
        <v>587</v>
      </c>
      <c r="E76" s="31" t="s">
        <v>588</v>
      </c>
      <c r="G76" s="6"/>
      <c r="H76" s="6"/>
      <c r="I76" s="6"/>
      <c r="J76" s="6"/>
      <c r="K76" s="6"/>
      <c r="L76" s="6"/>
      <c r="M76" s="6"/>
      <c r="N76" s="6"/>
    </row>
    <row r="77" spans="2:14">
      <c r="B77" s="463">
        <v>5</v>
      </c>
      <c r="C77" s="213" t="s">
        <v>619</v>
      </c>
      <c r="D77" s="141" t="s">
        <v>607</v>
      </c>
      <c r="E77" s="142">
        <v>14.9</v>
      </c>
      <c r="G77" s="6"/>
      <c r="H77" s="6"/>
      <c r="I77" s="6"/>
      <c r="J77" s="6"/>
      <c r="K77" s="6"/>
      <c r="L77" s="6"/>
      <c r="M77" s="6"/>
      <c r="N77" s="6"/>
    </row>
    <row r="78" spans="2:14">
      <c r="B78" s="464"/>
      <c r="C78" s="717" t="s">
        <v>596</v>
      </c>
      <c r="D78" s="718"/>
      <c r="E78" s="143">
        <f>AVERAGE(E77,E73,E69)</f>
        <v>10.799999999999999</v>
      </c>
      <c r="G78" s="6"/>
      <c r="H78" s="6"/>
      <c r="I78" s="6"/>
      <c r="J78" s="6"/>
      <c r="K78" s="6"/>
      <c r="L78" s="6"/>
      <c r="M78" s="6"/>
      <c r="N78" s="6"/>
    </row>
    <row r="79" spans="2:14">
      <c r="B79" s="39"/>
      <c r="C79" s="461"/>
      <c r="D79" s="461"/>
      <c r="E79" s="462"/>
      <c r="G79" s="6"/>
      <c r="H79" s="6"/>
      <c r="I79" s="6"/>
      <c r="J79" s="6"/>
      <c r="K79" s="6"/>
      <c r="L79" s="6"/>
      <c r="M79" s="6"/>
      <c r="N79" s="6"/>
    </row>
    <row r="80" spans="2:14">
      <c r="B80" s="39"/>
      <c r="C80" s="461" t="s">
        <v>621</v>
      </c>
      <c r="D80" s="461"/>
      <c r="E80" s="462"/>
      <c r="G80" s="6"/>
      <c r="H80" s="6"/>
      <c r="I80" s="6"/>
      <c r="J80" s="6"/>
      <c r="K80" s="6"/>
      <c r="L80" s="6"/>
      <c r="M80" s="6"/>
      <c r="N80" s="6"/>
    </row>
    <row r="81" spans="1:14" ht="14.45" customHeight="1">
      <c r="B81" s="719" t="s">
        <v>534</v>
      </c>
      <c r="C81" s="720"/>
      <c r="D81" s="720"/>
      <c r="E81" s="721"/>
      <c r="G81" s="261"/>
      <c r="H81" s="261"/>
      <c r="I81" s="261"/>
      <c r="J81" s="261"/>
      <c r="K81" s="6"/>
      <c r="L81" s="6"/>
      <c r="M81" s="6"/>
      <c r="N81" s="6"/>
    </row>
    <row r="82" spans="1:14" ht="16.149999999999999" customHeight="1" thickBot="1">
      <c r="B82" s="694" t="s">
        <v>535</v>
      </c>
      <c r="C82" s="695"/>
      <c r="D82" s="695"/>
      <c r="E82" s="696"/>
      <c r="G82" s="6"/>
      <c r="H82" s="242"/>
      <c r="I82" s="260"/>
      <c r="J82" s="260"/>
      <c r="K82" s="6"/>
      <c r="L82" s="6"/>
      <c r="M82" s="6"/>
      <c r="N82" s="6"/>
    </row>
    <row r="83" spans="1:14">
      <c r="B83" s="36"/>
      <c r="C83" s="37"/>
      <c r="D83" s="1"/>
      <c r="E83" s="38"/>
      <c r="G83" s="6"/>
      <c r="H83" s="242"/>
      <c r="I83" s="260"/>
      <c r="J83" s="260"/>
      <c r="K83" s="6"/>
      <c r="L83" s="6"/>
      <c r="M83" s="6"/>
      <c r="N83" s="6"/>
    </row>
    <row r="84" spans="1:14">
      <c r="B84" s="36"/>
      <c r="C84" s="37"/>
      <c r="D84" s="1"/>
      <c r="E84" s="38"/>
      <c r="G84" s="6"/>
      <c r="H84" s="6"/>
      <c r="I84" s="6"/>
      <c r="J84" s="6"/>
      <c r="K84" s="6"/>
      <c r="L84" s="6"/>
      <c r="M84" s="6"/>
      <c r="N84" s="6"/>
    </row>
    <row r="85" spans="1:14">
      <c r="A85" s="6"/>
      <c r="E85" s="263"/>
      <c r="F85" s="6"/>
      <c r="G85" s="6"/>
      <c r="H85" s="6"/>
      <c r="I85" s="6"/>
      <c r="J85" s="6"/>
      <c r="K85" s="6"/>
      <c r="L85" s="6"/>
      <c r="M85" s="6"/>
      <c r="N85" s="6"/>
    </row>
    <row r="86" spans="1:14" ht="19.5" thickBot="1">
      <c r="A86" s="6"/>
      <c r="C86" s="265"/>
      <c r="E86" s="263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thickBot="1">
      <c r="A87" s="6"/>
      <c r="E87" s="264"/>
      <c r="F87" s="6"/>
      <c r="G87" s="6"/>
      <c r="H87" s="6"/>
      <c r="I87" s="6"/>
      <c r="J87" s="6"/>
      <c r="K87" s="6"/>
      <c r="L87" s="6"/>
      <c r="M87" s="6"/>
      <c r="N87" s="6"/>
    </row>
    <row r="88" spans="1:14">
      <c r="A88" s="6"/>
      <c r="E88" s="263"/>
      <c r="F88" s="6"/>
      <c r="G88" s="6"/>
      <c r="H88" s="6"/>
      <c r="I88" s="6"/>
      <c r="J88" s="6"/>
      <c r="K88" s="6"/>
      <c r="L88" s="6"/>
      <c r="M88" s="6"/>
      <c r="N88" s="6"/>
    </row>
    <row r="89" spans="1:14" ht="37.5">
      <c r="A89" s="6"/>
      <c r="C89" s="262"/>
      <c r="E89" s="263"/>
      <c r="F89" s="6"/>
      <c r="G89" s="6"/>
      <c r="H89" s="6"/>
      <c r="I89" s="6"/>
      <c r="J89" s="6"/>
      <c r="K89" s="6"/>
      <c r="L89" s="6"/>
      <c r="M89" s="6"/>
      <c r="N89" s="6"/>
    </row>
    <row r="90" spans="1:14">
      <c r="A90" s="6"/>
      <c r="E90" s="263"/>
      <c r="F90" s="6"/>
      <c r="G90" s="6"/>
      <c r="H90" s="6"/>
      <c r="I90" s="6"/>
      <c r="J90" s="6"/>
      <c r="K90" s="6"/>
      <c r="L90" s="6"/>
      <c r="M90" s="6"/>
      <c r="N90" s="6"/>
    </row>
    <row r="91" spans="1:14">
      <c r="A91" s="6"/>
      <c r="E91" s="263"/>
      <c r="F91" s="6"/>
      <c r="G91" s="6"/>
      <c r="H91" s="6"/>
      <c r="I91" s="6"/>
      <c r="J91" s="6"/>
      <c r="K91" s="6"/>
      <c r="L91" s="6"/>
      <c r="M91" s="6"/>
      <c r="N91" s="6"/>
    </row>
    <row r="92" spans="1:14">
      <c r="A92" s="6"/>
      <c r="E92" s="263"/>
      <c r="F92" s="6"/>
      <c r="G92" s="6"/>
      <c r="H92" s="6"/>
      <c r="I92" s="6"/>
      <c r="J92" s="6"/>
      <c r="K92" s="6"/>
      <c r="L92" s="6"/>
      <c r="M92" s="6"/>
      <c r="N92" s="6"/>
    </row>
    <row r="93" spans="1:14">
      <c r="A93" s="6"/>
      <c r="E93" s="263"/>
      <c r="F93" s="6"/>
      <c r="G93" s="6"/>
      <c r="H93" s="6"/>
      <c r="I93" s="6"/>
      <c r="J93" s="6"/>
      <c r="K93" s="6"/>
      <c r="L93" s="6"/>
      <c r="M93" s="6"/>
      <c r="N93" s="6"/>
    </row>
    <row r="94" spans="1:14">
      <c r="A94" s="6"/>
      <c r="E94" s="263"/>
      <c r="F94" s="6"/>
      <c r="G94" s="6"/>
      <c r="H94" s="6"/>
      <c r="I94" s="6"/>
      <c r="J94" s="6"/>
      <c r="K94" s="6"/>
      <c r="L94" s="6"/>
      <c r="M94" s="6"/>
      <c r="N94" s="6"/>
    </row>
    <row r="95" spans="1:14">
      <c r="A95" s="6"/>
      <c r="E95" s="263"/>
      <c r="F95" s="6"/>
      <c r="G95" s="6"/>
      <c r="H95" s="6"/>
      <c r="I95" s="6"/>
      <c r="J95" s="6"/>
      <c r="K95" s="6"/>
      <c r="L95" s="6"/>
      <c r="M95" s="6"/>
      <c r="N95" s="6"/>
    </row>
    <row r="96" spans="1:14">
      <c r="A96" s="6"/>
      <c r="E96" s="263"/>
      <c r="F96" s="6"/>
      <c r="G96" s="6"/>
      <c r="H96" s="6"/>
      <c r="I96" s="6"/>
      <c r="J96" s="6"/>
      <c r="K96" s="6"/>
      <c r="L96" s="6"/>
      <c r="M96" s="6"/>
      <c r="N96" s="6"/>
    </row>
    <row r="97" spans="2:5" s="6" customFormat="1">
      <c r="B97" s="34"/>
      <c r="C97" s="7"/>
      <c r="D97" s="4"/>
      <c r="E97" s="263"/>
    </row>
    <row r="98" spans="2:5" s="6" customFormat="1">
      <c r="B98" s="34"/>
      <c r="C98" s="7"/>
      <c r="D98" s="4"/>
      <c r="E98" s="263"/>
    </row>
    <row r="99" spans="2:5" s="6" customFormat="1">
      <c r="B99" s="34"/>
      <c r="C99" s="7"/>
      <c r="D99" s="4"/>
      <c r="E99" s="263"/>
    </row>
    <row r="100" spans="2:5" s="6" customFormat="1">
      <c r="B100" s="34"/>
      <c r="C100" s="7"/>
      <c r="D100" s="4"/>
      <c r="E100" s="263"/>
    </row>
    <row r="101" spans="2:5" s="6" customFormat="1">
      <c r="B101" s="34"/>
      <c r="C101" s="7"/>
      <c r="D101" s="4"/>
      <c r="E101" s="263"/>
    </row>
    <row r="102" spans="2:5" s="6" customFormat="1">
      <c r="B102" s="34"/>
      <c r="C102" s="7"/>
      <c r="D102" s="4"/>
      <c r="E102" s="263"/>
    </row>
    <row r="103" spans="2:5" s="6" customFormat="1">
      <c r="B103" s="34"/>
      <c r="C103" s="7"/>
      <c r="D103" s="4"/>
      <c r="E103" s="263"/>
    </row>
    <row r="104" spans="2:5" s="6" customFormat="1">
      <c r="B104" s="34"/>
      <c r="C104" s="7"/>
      <c r="D104" s="4"/>
      <c r="E104" s="263"/>
    </row>
    <row r="105" spans="2:5" s="6" customFormat="1">
      <c r="B105" s="34"/>
      <c r="C105" s="7"/>
      <c r="D105" s="4"/>
      <c r="E105" s="263"/>
    </row>
    <row r="106" spans="2:5" s="6" customFormat="1">
      <c r="B106" s="34"/>
      <c r="C106" s="7"/>
      <c r="D106" s="4"/>
      <c r="E106" s="263"/>
    </row>
    <row r="107" spans="2:5" s="6" customFormat="1">
      <c r="B107" s="34"/>
      <c r="C107" s="7"/>
      <c r="D107" s="4"/>
      <c r="E107" s="263"/>
    </row>
    <row r="108" spans="2:5" s="6" customFormat="1">
      <c r="B108" s="34"/>
      <c r="C108" s="7"/>
      <c r="D108" s="4"/>
      <c r="E108" s="263"/>
    </row>
    <row r="109" spans="2:5" s="6" customFormat="1">
      <c r="B109" s="34"/>
      <c r="C109" s="7"/>
      <c r="D109" s="4"/>
      <c r="E109" s="263"/>
    </row>
    <row r="110" spans="2:5" s="6" customFormat="1">
      <c r="B110" s="34"/>
      <c r="C110" s="7"/>
      <c r="D110" s="4"/>
      <c r="E110" s="263"/>
    </row>
    <row r="111" spans="2:5" s="6" customFormat="1">
      <c r="B111" s="34"/>
      <c r="C111" s="7"/>
      <c r="D111" s="4"/>
      <c r="E111" s="263"/>
    </row>
    <row r="112" spans="2:5" s="6" customFormat="1">
      <c r="B112" s="34"/>
      <c r="C112" s="7"/>
      <c r="D112" s="4"/>
      <c r="E112" s="263"/>
    </row>
    <row r="113" spans="2:5" s="6" customFormat="1">
      <c r="B113" s="34"/>
      <c r="C113" s="7"/>
      <c r="D113" s="4"/>
      <c r="E113" s="263"/>
    </row>
    <row r="114" spans="2:5" s="6" customFormat="1">
      <c r="B114" s="34"/>
      <c r="C114" s="7"/>
      <c r="D114" s="4"/>
      <c r="E114" s="263"/>
    </row>
    <row r="115" spans="2:5" s="6" customFormat="1">
      <c r="B115" s="34"/>
      <c r="C115" s="7"/>
      <c r="D115" s="4"/>
      <c r="E115" s="263"/>
    </row>
    <row r="116" spans="2:5" s="6" customFormat="1">
      <c r="B116" s="34"/>
      <c r="C116" s="7"/>
      <c r="D116" s="4"/>
      <c r="E116" s="263"/>
    </row>
    <row r="117" spans="2:5" s="6" customFormat="1">
      <c r="B117" s="34"/>
      <c r="C117" s="7"/>
      <c r="D117" s="4"/>
      <c r="E117" s="263"/>
    </row>
    <row r="118" spans="2:5" s="6" customFormat="1">
      <c r="B118" s="34"/>
      <c r="C118" s="7"/>
      <c r="D118" s="4"/>
      <c r="E118" s="263"/>
    </row>
    <row r="119" spans="2:5" s="6" customFormat="1">
      <c r="B119" s="34"/>
      <c r="C119" s="7"/>
      <c r="D119" s="4"/>
      <c r="E119" s="263"/>
    </row>
    <row r="120" spans="2:5" s="6" customFormat="1">
      <c r="B120" s="34"/>
      <c r="C120" s="7"/>
      <c r="D120" s="4"/>
      <c r="E120" s="263"/>
    </row>
    <row r="121" spans="2:5" s="6" customFormat="1">
      <c r="B121" s="34"/>
      <c r="C121" s="7"/>
      <c r="D121" s="4"/>
      <c r="E121" s="263"/>
    </row>
    <row r="122" spans="2:5" s="6" customFormat="1">
      <c r="B122" s="34"/>
      <c r="C122" s="7"/>
      <c r="D122" s="4"/>
      <c r="E122" s="263"/>
    </row>
    <row r="123" spans="2:5" s="6" customFormat="1">
      <c r="B123" s="34"/>
      <c r="C123" s="7"/>
      <c r="D123" s="4"/>
      <c r="E123" s="263"/>
    </row>
    <row r="124" spans="2:5" s="6" customFormat="1">
      <c r="B124" s="34"/>
      <c r="C124" s="7"/>
      <c r="D124" s="4"/>
      <c r="E124" s="263"/>
    </row>
    <row r="125" spans="2:5" s="6" customFormat="1">
      <c r="B125" s="34"/>
      <c r="C125" s="7"/>
      <c r="D125" s="4"/>
      <c r="E125" s="263"/>
    </row>
    <row r="126" spans="2:5" s="6" customFormat="1">
      <c r="B126" s="34"/>
      <c r="C126" s="7"/>
      <c r="D126" s="4"/>
      <c r="E126" s="263"/>
    </row>
    <row r="127" spans="2:5" s="6" customFormat="1">
      <c r="B127" s="34"/>
      <c r="C127" s="7"/>
      <c r="D127" s="4"/>
      <c r="E127" s="263"/>
    </row>
    <row r="128" spans="2:5" s="6" customFormat="1">
      <c r="B128" s="34"/>
      <c r="C128" s="7"/>
      <c r="D128" s="4"/>
      <c r="E128" s="263"/>
    </row>
    <row r="129" spans="2:5" s="6" customFormat="1">
      <c r="B129" s="34"/>
      <c r="C129" s="7"/>
      <c r="D129" s="4"/>
      <c r="E129" s="263"/>
    </row>
    <row r="130" spans="2:5" s="6" customFormat="1">
      <c r="B130" s="34"/>
      <c r="C130" s="7"/>
      <c r="D130" s="4"/>
      <c r="E130" s="263"/>
    </row>
  </sheetData>
  <sheetProtection formatCells="0" formatColumns="0" formatRows="0" insertColumns="0" insertRows="0" insertHyperlinks="0" deleteColumns="0" deleteRows="0" sort="0" autoFilter="0" pivotTables="0"/>
  <mergeCells count="47">
    <mergeCell ref="C78:D78"/>
    <mergeCell ref="B67:E67"/>
    <mergeCell ref="B70:E70"/>
    <mergeCell ref="B71:E71"/>
    <mergeCell ref="B74:E74"/>
    <mergeCell ref="B75:E75"/>
    <mergeCell ref="C8:E8"/>
    <mergeCell ref="C22:D22"/>
    <mergeCell ref="B9:E9"/>
    <mergeCell ref="B10:E10"/>
    <mergeCell ref="B19:E19"/>
    <mergeCell ref="B11:E11"/>
    <mergeCell ref="B14:E14"/>
    <mergeCell ref="B15:E15"/>
    <mergeCell ref="B18:E18"/>
    <mergeCell ref="B60:E60"/>
    <mergeCell ref="B61:E61"/>
    <mergeCell ref="C64:D64"/>
    <mergeCell ref="C4:E4"/>
    <mergeCell ref="B37:E37"/>
    <mergeCell ref="B23:E23"/>
    <mergeCell ref="B24:E24"/>
    <mergeCell ref="B25:E25"/>
    <mergeCell ref="C36:D36"/>
    <mergeCell ref="B28:E28"/>
    <mergeCell ref="B29:E29"/>
    <mergeCell ref="B32:E32"/>
    <mergeCell ref="B33:E33"/>
    <mergeCell ref="C5:E5"/>
    <mergeCell ref="C6:E6"/>
    <mergeCell ref="C7:E7"/>
    <mergeCell ref="B82:E82"/>
    <mergeCell ref="B65:E65"/>
    <mergeCell ref="B66:E66"/>
    <mergeCell ref="B38:E38"/>
    <mergeCell ref="B39:E39"/>
    <mergeCell ref="B42:E42"/>
    <mergeCell ref="B43:E43"/>
    <mergeCell ref="B46:E46"/>
    <mergeCell ref="B47:E47"/>
    <mergeCell ref="C50:D50"/>
    <mergeCell ref="B81:E81"/>
    <mergeCell ref="B51:E51"/>
    <mergeCell ref="B52:E52"/>
    <mergeCell ref="B53:E53"/>
    <mergeCell ref="B56:E56"/>
    <mergeCell ref="B57:E57"/>
  </mergeCells>
  <pageMargins left="0.51181102362204722" right="0.51181102362204722" top="0.78740157480314965" bottom="0.78740157480314965" header="0.31496062992125984" footer="0.31496062992125984"/>
  <pageSetup paperSize="9" scale="83" fitToHeight="0" orientation="landscape" horizontalDpi="300" verticalDpi="300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2"/>
  <sheetViews>
    <sheetView view="pageBreakPreview" topLeftCell="A36" zoomScale="85" zoomScaleNormal="85" zoomScaleSheetLayoutView="85" workbookViewId="0">
      <selection activeCell="A5" sqref="A5:H6"/>
    </sheetView>
  </sheetViews>
  <sheetFormatPr defaultColWidth="9.140625" defaultRowHeight="15"/>
  <cols>
    <col min="1" max="2" width="11.42578125" style="12" bestFit="1" customWidth="1"/>
    <col min="3" max="3" width="89.85546875" style="12" bestFit="1" customWidth="1"/>
    <col min="4" max="4" width="9.5703125" style="12" bestFit="1" customWidth="1"/>
    <col min="5" max="5" width="9" style="12" bestFit="1" customWidth="1"/>
    <col min="6" max="6" width="14" style="12" bestFit="1" customWidth="1"/>
    <col min="7" max="7" width="21" style="12" bestFit="1" customWidth="1"/>
    <col min="8" max="8" width="21.42578125" style="12" customWidth="1"/>
    <col min="9" max="9" width="9.140625" style="12"/>
    <col min="10" max="10" width="9.7109375" style="12" bestFit="1" customWidth="1"/>
    <col min="11" max="16384" width="9.140625" style="12"/>
  </cols>
  <sheetData>
    <row r="1" spans="1:13" ht="15.75">
      <c r="A1" s="317"/>
      <c r="B1" s="782" t="s">
        <v>580</v>
      </c>
      <c r="C1" s="782"/>
      <c r="D1" s="782"/>
      <c r="E1" s="782"/>
      <c r="F1" s="782"/>
      <c r="G1" s="782"/>
      <c r="H1" s="783"/>
    </row>
    <row r="2" spans="1:13" ht="15.75">
      <c r="A2" s="318"/>
      <c r="B2" s="692" t="s">
        <v>0</v>
      </c>
      <c r="C2" s="692"/>
      <c r="D2" s="692"/>
      <c r="E2" s="692"/>
      <c r="F2" s="692"/>
      <c r="G2" s="692"/>
      <c r="H2" s="778"/>
      <c r="I2" s="415"/>
      <c r="J2" s="415"/>
      <c r="K2" s="415"/>
      <c r="L2" s="415"/>
      <c r="M2" s="415"/>
    </row>
    <row r="3" spans="1:13" ht="15.75">
      <c r="A3" s="318"/>
      <c r="B3" s="692" t="s">
        <v>622</v>
      </c>
      <c r="C3" s="692"/>
      <c r="D3" s="692"/>
      <c r="E3" s="692"/>
      <c r="F3" s="692"/>
      <c r="G3" s="692"/>
      <c r="H3" s="778"/>
      <c r="I3" s="415"/>
      <c r="J3" s="415"/>
      <c r="K3" s="415"/>
      <c r="L3" s="415"/>
      <c r="M3" s="415"/>
    </row>
    <row r="4" spans="1:13" ht="15.75">
      <c r="A4" s="318"/>
      <c r="B4" s="692" t="s">
        <v>2</v>
      </c>
      <c r="C4" s="692"/>
      <c r="D4" s="692"/>
      <c r="E4" s="692"/>
      <c r="F4" s="692"/>
      <c r="G4" s="692"/>
      <c r="H4" s="778"/>
      <c r="I4" s="415"/>
      <c r="J4" s="415"/>
      <c r="K4" s="415"/>
      <c r="L4" s="415"/>
      <c r="M4" s="415"/>
    </row>
    <row r="5" spans="1:13" ht="18" customHeight="1">
      <c r="A5" s="779" t="s">
        <v>623</v>
      </c>
      <c r="B5" s="780"/>
      <c r="C5" s="780"/>
      <c r="D5" s="780"/>
      <c r="E5" s="780"/>
      <c r="F5" s="780"/>
      <c r="G5" s="780"/>
      <c r="H5" s="781"/>
    </row>
    <row r="6" spans="1:13" ht="15" customHeight="1">
      <c r="A6" s="779"/>
      <c r="B6" s="780"/>
      <c r="C6" s="780"/>
      <c r="D6" s="780"/>
      <c r="E6" s="780"/>
      <c r="F6" s="780"/>
      <c r="G6" s="780"/>
      <c r="H6" s="781"/>
    </row>
    <row r="7" spans="1:13">
      <c r="A7" s="289" t="s">
        <v>624</v>
      </c>
      <c r="B7" s="680" t="s">
        <v>625</v>
      </c>
      <c r="C7" s="680"/>
      <c r="D7" s="680"/>
      <c r="E7" s="680"/>
      <c r="F7" s="680"/>
      <c r="G7" s="680"/>
      <c r="H7" s="680"/>
    </row>
    <row r="8" spans="1:13">
      <c r="A8" s="744" t="s">
        <v>626</v>
      </c>
      <c r="B8" s="745"/>
      <c r="C8" s="756" t="s">
        <v>627</v>
      </c>
      <c r="D8" s="756"/>
      <c r="E8" s="756"/>
      <c r="F8" s="756"/>
      <c r="G8" s="756"/>
      <c r="H8" s="757"/>
    </row>
    <row r="9" spans="1:13">
      <c r="A9" s="744"/>
      <c r="B9" s="745"/>
      <c r="C9" s="746" t="s">
        <v>628</v>
      </c>
      <c r="D9" s="746"/>
      <c r="E9" s="746"/>
      <c r="F9" s="746"/>
      <c r="G9" s="746"/>
      <c r="H9" s="747"/>
    </row>
    <row r="10" spans="1:13">
      <c r="A10" s="13"/>
      <c r="B10" s="13"/>
      <c r="C10" s="14"/>
      <c r="D10" s="15"/>
      <c r="E10" s="15"/>
      <c r="F10" s="16"/>
      <c r="G10" s="16"/>
      <c r="H10" s="16"/>
    </row>
    <row r="11" spans="1:13">
      <c r="A11" s="319" t="s">
        <v>545</v>
      </c>
      <c r="B11" s="20">
        <v>11</v>
      </c>
      <c r="C11" s="17" t="s">
        <v>629</v>
      </c>
      <c r="D11" s="139">
        <v>3.5000000000000003E-2</v>
      </c>
      <c r="E11" s="18" t="s">
        <v>488</v>
      </c>
      <c r="F11" s="100">
        <v>0</v>
      </c>
      <c r="G11" s="19">
        <v>10.23</v>
      </c>
      <c r="H11" s="320">
        <f>G11*D11</f>
        <v>0.35805000000000003</v>
      </c>
    </row>
    <row r="12" spans="1:13">
      <c r="A12" s="319" t="s">
        <v>545</v>
      </c>
      <c r="B12" s="20">
        <v>8</v>
      </c>
      <c r="C12" s="17" t="s">
        <v>630</v>
      </c>
      <c r="D12" s="139">
        <v>3.5000000000000003E-2</v>
      </c>
      <c r="E12" s="18" t="s">
        <v>488</v>
      </c>
      <c r="F12" s="100">
        <v>0</v>
      </c>
      <c r="G12" s="19">
        <v>6.91</v>
      </c>
      <c r="H12" s="320">
        <f>G12*D12</f>
        <v>0.24185000000000004</v>
      </c>
    </row>
    <row r="13" spans="1:13">
      <c r="A13" s="752" t="s">
        <v>583</v>
      </c>
      <c r="B13" s="753"/>
      <c r="C13" s="17" t="s">
        <v>625</v>
      </c>
      <c r="D13" s="99">
        <v>3</v>
      </c>
      <c r="E13" s="18" t="s">
        <v>607</v>
      </c>
      <c r="F13" s="100">
        <f>COTAÇÕES!E22</f>
        <v>26.623333333333335</v>
      </c>
      <c r="G13" s="100">
        <v>0</v>
      </c>
      <c r="H13" s="320">
        <f>F13*D13</f>
        <v>79.87</v>
      </c>
    </row>
    <row r="14" spans="1:13">
      <c r="A14" s="754" t="s">
        <v>631</v>
      </c>
      <c r="B14" s="755"/>
      <c r="C14" s="755"/>
      <c r="D14" s="755"/>
      <c r="E14" s="755"/>
      <c r="F14" s="94">
        <f>SUM(F11:F13)</f>
        <v>26.623333333333335</v>
      </c>
      <c r="G14" s="94">
        <f>SUM(G11*D11+G12*D12+G13*D13)</f>
        <v>0.5999000000000001</v>
      </c>
      <c r="H14" s="321">
        <f>SUM(H11:H13)</f>
        <v>80.46990000000001</v>
      </c>
      <c r="J14" s="335"/>
    </row>
    <row r="15" spans="1:13">
      <c r="A15" s="289" t="s">
        <v>632</v>
      </c>
      <c r="B15" s="680" t="s">
        <v>248</v>
      </c>
      <c r="C15" s="680"/>
      <c r="D15" s="680"/>
      <c r="E15" s="680"/>
      <c r="F15" s="680"/>
      <c r="G15" s="680"/>
      <c r="H15" s="680"/>
    </row>
    <row r="16" spans="1:13">
      <c r="A16" s="744" t="s">
        <v>626</v>
      </c>
      <c r="B16" s="745"/>
      <c r="C16" s="756" t="s">
        <v>627</v>
      </c>
      <c r="D16" s="756"/>
      <c r="E16" s="756"/>
      <c r="F16" s="756"/>
      <c r="G16" s="756"/>
      <c r="H16" s="757"/>
    </row>
    <row r="17" spans="1:11">
      <c r="A17" s="744"/>
      <c r="B17" s="745"/>
      <c r="C17" s="746" t="s">
        <v>628</v>
      </c>
      <c r="D17" s="746"/>
      <c r="E17" s="746"/>
      <c r="F17" s="746"/>
      <c r="G17" s="746"/>
      <c r="H17" s="747"/>
    </row>
    <row r="18" spans="1:11">
      <c r="A18" s="13"/>
      <c r="B18" s="13"/>
      <c r="C18" s="14"/>
      <c r="D18" s="15"/>
      <c r="E18" s="15"/>
      <c r="F18" s="16"/>
      <c r="G18" s="16"/>
      <c r="H18" s="16"/>
    </row>
    <row r="19" spans="1:11">
      <c r="A19" s="319" t="s">
        <v>545</v>
      </c>
      <c r="B19" s="20">
        <v>12</v>
      </c>
      <c r="C19" s="17" t="s">
        <v>633</v>
      </c>
      <c r="D19" s="99">
        <v>0.3</v>
      </c>
      <c r="E19" s="18" t="s">
        <v>488</v>
      </c>
      <c r="F19" s="100">
        <v>0</v>
      </c>
      <c r="G19" s="19">
        <v>10.23</v>
      </c>
      <c r="H19" s="320">
        <f>G19*D19</f>
        <v>3.069</v>
      </c>
    </row>
    <row r="20" spans="1:11">
      <c r="A20" s="319" t="s">
        <v>545</v>
      </c>
      <c r="B20" s="20">
        <v>8</v>
      </c>
      <c r="C20" s="17" t="s">
        <v>630</v>
      </c>
      <c r="D20" s="99">
        <v>0.3</v>
      </c>
      <c r="E20" s="18" t="s">
        <v>488</v>
      </c>
      <c r="F20" s="100">
        <v>0</v>
      </c>
      <c r="G20" s="19">
        <v>6.91</v>
      </c>
      <c r="H20" s="320">
        <f>G20*D20</f>
        <v>2.073</v>
      </c>
    </row>
    <row r="21" spans="1:11">
      <c r="A21" s="752" t="s">
        <v>597</v>
      </c>
      <c r="B21" s="753"/>
      <c r="C21" s="11" t="s">
        <v>634</v>
      </c>
      <c r="D21" s="99">
        <v>1</v>
      </c>
      <c r="E21" s="18" t="s">
        <v>607</v>
      </c>
      <c r="F21" s="100">
        <f>COTAÇÕES!E36</f>
        <v>13.873333333333335</v>
      </c>
      <c r="G21" s="100">
        <v>0</v>
      </c>
      <c r="H21" s="320">
        <f>F21*D21</f>
        <v>13.873333333333335</v>
      </c>
      <c r="K21" s="258"/>
    </row>
    <row r="22" spans="1:11">
      <c r="A22" s="742" t="s">
        <v>631</v>
      </c>
      <c r="B22" s="743"/>
      <c r="C22" s="743"/>
      <c r="D22" s="743"/>
      <c r="E22" s="743"/>
      <c r="F22" s="21">
        <f>F21*D21</f>
        <v>13.873333333333335</v>
      </c>
      <c r="G22" s="94">
        <f>SUM(G19*D19+G20*D20+G21*D21)</f>
        <v>5.1419999999999995</v>
      </c>
      <c r="H22" s="322">
        <f>SUM(H19:H21)</f>
        <v>19.015333333333334</v>
      </c>
    </row>
    <row r="23" spans="1:11">
      <c r="A23" s="289" t="s">
        <v>635</v>
      </c>
      <c r="B23" s="680" t="s">
        <v>636</v>
      </c>
      <c r="C23" s="680"/>
      <c r="D23" s="680"/>
      <c r="E23" s="680"/>
      <c r="F23" s="680"/>
      <c r="G23" s="680"/>
      <c r="H23" s="680"/>
    </row>
    <row r="24" spans="1:11">
      <c r="A24" s="744" t="s">
        <v>626</v>
      </c>
      <c r="B24" s="745"/>
      <c r="C24" s="746" t="s">
        <v>536</v>
      </c>
      <c r="D24" s="746"/>
      <c r="E24" s="746"/>
      <c r="F24" s="746"/>
      <c r="G24" s="746"/>
      <c r="H24" s="747"/>
    </row>
    <row r="25" spans="1:11">
      <c r="A25" s="744"/>
      <c r="B25" s="745"/>
      <c r="C25" s="746" t="s">
        <v>628</v>
      </c>
      <c r="D25" s="746"/>
      <c r="E25" s="746"/>
      <c r="F25" s="746"/>
      <c r="G25" s="746"/>
      <c r="H25" s="747"/>
    </row>
    <row r="26" spans="1:11">
      <c r="A26" s="13"/>
      <c r="B26" s="13"/>
      <c r="C26" s="14"/>
      <c r="D26" s="15"/>
      <c r="E26" s="15"/>
      <c r="F26" s="16"/>
      <c r="G26" s="16"/>
      <c r="H26" s="16"/>
    </row>
    <row r="27" spans="1:11">
      <c r="A27" s="750" t="s">
        <v>617</v>
      </c>
      <c r="B27" s="751"/>
      <c r="C27" s="17" t="s">
        <v>637</v>
      </c>
      <c r="D27" s="475">
        <v>3</v>
      </c>
      <c r="E27" s="18" t="s">
        <v>638</v>
      </c>
      <c r="F27" s="476">
        <v>10.8</v>
      </c>
      <c r="G27" s="478">
        <v>0</v>
      </c>
      <c r="H27" s="477">
        <f>F27*D27</f>
        <v>32.400000000000006</v>
      </c>
    </row>
    <row r="28" spans="1:11">
      <c r="A28" s="319" t="s">
        <v>544</v>
      </c>
      <c r="B28" s="152">
        <v>11186</v>
      </c>
      <c r="C28" s="17" t="s">
        <v>639</v>
      </c>
      <c r="D28" s="475">
        <v>3</v>
      </c>
      <c r="E28" s="18" t="s">
        <v>640</v>
      </c>
      <c r="F28" s="476">
        <v>355.46</v>
      </c>
      <c r="G28" s="476">
        <v>0</v>
      </c>
      <c r="H28" s="477">
        <f>F28*D28</f>
        <v>1066.3799999999999</v>
      </c>
    </row>
    <row r="29" spans="1:11">
      <c r="A29" s="319" t="s">
        <v>545</v>
      </c>
      <c r="B29" s="20">
        <v>5</v>
      </c>
      <c r="C29" s="17" t="s">
        <v>641</v>
      </c>
      <c r="D29" s="99">
        <v>0.15</v>
      </c>
      <c r="E29" s="18" t="s">
        <v>488</v>
      </c>
      <c r="F29" s="100">
        <v>0</v>
      </c>
      <c r="G29" s="100">
        <v>6.12</v>
      </c>
      <c r="H29" s="320">
        <f>G29*D29</f>
        <v>0.91799999999999993</v>
      </c>
    </row>
    <row r="30" spans="1:11">
      <c r="A30" s="742" t="s">
        <v>631</v>
      </c>
      <c r="B30" s="743"/>
      <c r="C30" s="743"/>
      <c r="D30" s="743"/>
      <c r="E30" s="743"/>
      <c r="F30" s="21">
        <f>(F28*D28)+(F27*D27)</f>
        <v>1098.78</v>
      </c>
      <c r="G30" s="94">
        <f>SUM(G27*D27+G29*D29+G28*D28)</f>
        <v>0.91799999999999993</v>
      </c>
      <c r="H30" s="322">
        <f>SUM(H27:H29)</f>
        <v>1099.6979999999999</v>
      </c>
    </row>
    <row r="31" spans="1:11">
      <c r="A31" s="289" t="s">
        <v>642</v>
      </c>
      <c r="B31" s="680" t="s">
        <v>643</v>
      </c>
      <c r="C31" s="680"/>
      <c r="D31" s="680"/>
      <c r="E31" s="680"/>
      <c r="F31" s="680"/>
      <c r="G31" s="680"/>
      <c r="H31" s="680"/>
    </row>
    <row r="32" spans="1:11">
      <c r="A32" s="744" t="s">
        <v>626</v>
      </c>
      <c r="B32" s="745"/>
      <c r="C32" s="748" t="s">
        <v>644</v>
      </c>
      <c r="D32" s="748"/>
      <c r="E32" s="748"/>
      <c r="F32" s="748"/>
      <c r="G32" s="748"/>
      <c r="H32" s="749"/>
    </row>
    <row r="33" spans="1:8">
      <c r="A33" s="744"/>
      <c r="B33" s="745"/>
      <c r="C33" s="746" t="s">
        <v>628</v>
      </c>
      <c r="D33" s="746"/>
      <c r="E33" s="746"/>
      <c r="F33" s="746"/>
      <c r="G33" s="746"/>
      <c r="H33" s="747"/>
    </row>
    <row r="34" spans="1:8">
      <c r="A34" s="13"/>
      <c r="B34" s="13"/>
      <c r="C34" s="14"/>
      <c r="D34" s="15"/>
      <c r="E34" s="15"/>
      <c r="F34" s="16"/>
      <c r="G34" s="16"/>
      <c r="H34" s="16"/>
    </row>
    <row r="35" spans="1:8">
      <c r="A35" s="750" t="s">
        <v>612</v>
      </c>
      <c r="B35" s="751"/>
      <c r="C35" s="11" t="s">
        <v>645</v>
      </c>
      <c r="D35" s="99">
        <v>3</v>
      </c>
      <c r="E35" s="18" t="s">
        <v>607</v>
      </c>
      <c r="F35" s="166">
        <f>COTAÇÕES!E64</f>
        <v>1038.2933333333333</v>
      </c>
      <c r="G35" s="101">
        <v>0</v>
      </c>
      <c r="H35" s="320">
        <f>F35*D35</f>
        <v>3114.88</v>
      </c>
    </row>
    <row r="36" spans="1:8">
      <c r="A36" s="319" t="s">
        <v>545</v>
      </c>
      <c r="B36" s="152" t="s">
        <v>646</v>
      </c>
      <c r="C36" s="11" t="s">
        <v>647</v>
      </c>
      <c r="D36" s="99">
        <v>3</v>
      </c>
      <c r="E36" s="18" t="s">
        <v>607</v>
      </c>
      <c r="F36" s="100">
        <v>13.06</v>
      </c>
      <c r="G36" s="129">
        <v>0</v>
      </c>
      <c r="H36" s="320">
        <f>F36*D36</f>
        <v>39.18</v>
      </c>
    </row>
    <row r="37" spans="1:8">
      <c r="A37" s="319" t="s">
        <v>545</v>
      </c>
      <c r="B37" s="20" t="s">
        <v>648</v>
      </c>
      <c r="C37" s="11" t="s">
        <v>649</v>
      </c>
      <c r="D37" s="99">
        <v>3</v>
      </c>
      <c r="E37" s="132" t="s">
        <v>607</v>
      </c>
      <c r="F37" s="133">
        <v>48.65</v>
      </c>
      <c r="G37" s="129">
        <v>0</v>
      </c>
      <c r="H37" s="320">
        <f>F37*D37</f>
        <v>145.94999999999999</v>
      </c>
    </row>
    <row r="38" spans="1:8">
      <c r="A38" s="319" t="s">
        <v>545</v>
      </c>
      <c r="B38" s="20" t="s">
        <v>650</v>
      </c>
      <c r="C38" s="11" t="s">
        <v>651</v>
      </c>
      <c r="D38" s="130">
        <v>0.5</v>
      </c>
      <c r="E38" s="40" t="s">
        <v>638</v>
      </c>
      <c r="F38" s="136">
        <v>0.46</v>
      </c>
      <c r="G38" s="131">
        <v>0</v>
      </c>
      <c r="H38" s="320">
        <f>F38*D38</f>
        <v>0.23</v>
      </c>
    </row>
    <row r="39" spans="1:8">
      <c r="A39" s="319" t="s">
        <v>545</v>
      </c>
      <c r="B39" s="20" t="s">
        <v>652</v>
      </c>
      <c r="C39" s="11" t="s">
        <v>653</v>
      </c>
      <c r="D39" s="323">
        <v>3</v>
      </c>
      <c r="E39" s="40" t="s">
        <v>607</v>
      </c>
      <c r="F39" s="136">
        <v>5.93</v>
      </c>
      <c r="G39" s="131">
        <v>0</v>
      </c>
      <c r="H39" s="320">
        <f>D39*F39</f>
        <v>17.79</v>
      </c>
    </row>
    <row r="40" spans="1:8">
      <c r="A40" s="319" t="s">
        <v>545</v>
      </c>
      <c r="B40" s="20">
        <v>11</v>
      </c>
      <c r="C40" s="11" t="s">
        <v>629</v>
      </c>
      <c r="D40" s="99">
        <v>2.2000000000000002</v>
      </c>
      <c r="E40" s="134" t="s">
        <v>488</v>
      </c>
      <c r="F40" s="135">
        <v>0</v>
      </c>
      <c r="G40" s="19">
        <v>10.23</v>
      </c>
      <c r="H40" s="320">
        <f>G40*D40</f>
        <v>22.506000000000004</v>
      </c>
    </row>
    <row r="41" spans="1:8">
      <c r="A41" s="319" t="s">
        <v>545</v>
      </c>
      <c r="B41" s="20">
        <v>8</v>
      </c>
      <c r="C41" s="11" t="s">
        <v>630</v>
      </c>
      <c r="D41" s="99">
        <v>2.2000000000000002</v>
      </c>
      <c r="E41" s="18" t="s">
        <v>488</v>
      </c>
      <c r="F41" s="100">
        <v>0</v>
      </c>
      <c r="G41" s="19">
        <v>6.91</v>
      </c>
      <c r="H41" s="320">
        <f>G41*D41</f>
        <v>15.202000000000002</v>
      </c>
    </row>
    <row r="42" spans="1:8">
      <c r="A42" s="742" t="s">
        <v>631</v>
      </c>
      <c r="B42" s="743"/>
      <c r="C42" s="743"/>
      <c r="D42" s="743"/>
      <c r="E42" s="743"/>
      <c r="F42" s="21">
        <f>F36*D36+F35*D35+F37*D37+F38*D38+F39*D39</f>
        <v>3318.0299999999997</v>
      </c>
      <c r="G42" s="94">
        <f>SUM(G41*D41+G40*D40)</f>
        <v>37.708000000000006</v>
      </c>
      <c r="H42" s="322">
        <f>SUM(H35:H41)</f>
        <v>3355.7379999999998</v>
      </c>
    </row>
    <row r="43" spans="1:8">
      <c r="A43" s="289" t="s">
        <v>654</v>
      </c>
      <c r="B43" s="680" t="s">
        <v>315</v>
      </c>
      <c r="C43" s="680"/>
      <c r="D43" s="680"/>
      <c r="E43" s="680"/>
      <c r="F43" s="680"/>
      <c r="G43" s="680"/>
      <c r="H43" s="680"/>
    </row>
    <row r="44" spans="1:8">
      <c r="A44" s="744" t="s">
        <v>626</v>
      </c>
      <c r="B44" s="745"/>
      <c r="C44" s="746" t="s">
        <v>536</v>
      </c>
      <c r="D44" s="746"/>
      <c r="E44" s="746"/>
      <c r="F44" s="746"/>
      <c r="G44" s="746"/>
      <c r="H44" s="747"/>
    </row>
    <row r="45" spans="1:8">
      <c r="A45" s="744"/>
      <c r="B45" s="745"/>
      <c r="C45" s="746" t="s">
        <v>628</v>
      </c>
      <c r="D45" s="746"/>
      <c r="E45" s="746"/>
      <c r="F45" s="746"/>
      <c r="G45" s="746"/>
      <c r="H45" s="747"/>
    </row>
    <row r="46" spans="1:8">
      <c r="A46" s="13"/>
      <c r="B46" s="13"/>
      <c r="C46" s="14"/>
      <c r="D46" s="15"/>
      <c r="E46" s="15"/>
      <c r="F46" s="16"/>
      <c r="G46" s="16"/>
      <c r="H46" s="16"/>
    </row>
    <row r="47" spans="1:8">
      <c r="A47" s="319" t="s">
        <v>545</v>
      </c>
      <c r="B47" s="20">
        <v>11</v>
      </c>
      <c r="C47" s="11" t="s">
        <v>629</v>
      </c>
      <c r="D47" s="99">
        <v>0.08</v>
      </c>
      <c r="E47" s="18" t="s">
        <v>488</v>
      </c>
      <c r="F47" s="100">
        <v>0</v>
      </c>
      <c r="G47" s="101">
        <v>10.23</v>
      </c>
      <c r="H47" s="320">
        <f>G47*D47</f>
        <v>0.81840000000000002</v>
      </c>
    </row>
    <row r="48" spans="1:8" s="258" customFormat="1">
      <c r="A48" s="319" t="s">
        <v>544</v>
      </c>
      <c r="B48" s="152">
        <v>1370</v>
      </c>
      <c r="C48" s="11" t="s">
        <v>655</v>
      </c>
      <c r="D48" s="475">
        <v>1</v>
      </c>
      <c r="E48" s="18" t="s">
        <v>607</v>
      </c>
      <c r="F48" s="476">
        <v>102.13</v>
      </c>
      <c r="G48" s="476">
        <v>0</v>
      </c>
      <c r="H48" s="477">
        <f>F48*D48</f>
        <v>102.13</v>
      </c>
    </row>
    <row r="49" spans="1:8">
      <c r="A49" s="319" t="s">
        <v>545</v>
      </c>
      <c r="B49" s="20">
        <v>5</v>
      </c>
      <c r="C49" s="17" t="s">
        <v>641</v>
      </c>
      <c r="D49" s="99">
        <v>0.08</v>
      </c>
      <c r="E49" s="18" t="s">
        <v>488</v>
      </c>
      <c r="F49" s="100">
        <v>0</v>
      </c>
      <c r="G49" s="100">
        <v>6.12</v>
      </c>
      <c r="H49" s="320">
        <f>G49*D49</f>
        <v>0.48960000000000004</v>
      </c>
    </row>
    <row r="50" spans="1:8">
      <c r="A50" s="742" t="s">
        <v>631</v>
      </c>
      <c r="B50" s="743"/>
      <c r="C50" s="743"/>
      <c r="D50" s="743"/>
      <c r="E50" s="743"/>
      <c r="F50" s="21">
        <f>F48*D48+F47*D47</f>
        <v>102.13</v>
      </c>
      <c r="G50" s="94">
        <f>SUM(G47*D47+G49*D49+G48*D48)</f>
        <v>1.3080000000000001</v>
      </c>
      <c r="H50" s="322">
        <f>SUM(H47:H49)</f>
        <v>103.43799999999999</v>
      </c>
    </row>
    <row r="51" spans="1:8">
      <c r="A51" s="289" t="s">
        <v>656</v>
      </c>
      <c r="B51" s="680" t="s">
        <v>524</v>
      </c>
      <c r="C51" s="680"/>
      <c r="D51" s="680"/>
      <c r="E51" s="680"/>
      <c r="F51" s="680"/>
      <c r="G51" s="680"/>
      <c r="H51" s="680"/>
    </row>
    <row r="52" spans="1:8">
      <c r="A52" s="744" t="s">
        <v>626</v>
      </c>
      <c r="B52" s="745"/>
      <c r="C52" s="756" t="s">
        <v>628</v>
      </c>
      <c r="D52" s="756"/>
      <c r="E52" s="756"/>
      <c r="F52" s="756"/>
      <c r="G52" s="756"/>
      <c r="H52" s="757"/>
    </row>
    <row r="53" spans="1:8">
      <c r="A53" s="744"/>
      <c r="B53" s="745"/>
      <c r="C53" s="756"/>
      <c r="D53" s="756"/>
      <c r="E53" s="756"/>
      <c r="F53" s="756"/>
      <c r="G53" s="756"/>
      <c r="H53" s="757"/>
    </row>
    <row r="54" spans="1:8">
      <c r="A54" s="13"/>
      <c r="B54" s="13"/>
      <c r="C54" s="14"/>
      <c r="D54" s="15"/>
      <c r="E54" s="15"/>
      <c r="F54" s="16"/>
      <c r="G54" s="16"/>
      <c r="H54" s="16"/>
    </row>
    <row r="55" spans="1:8">
      <c r="A55" s="319" t="s">
        <v>545</v>
      </c>
      <c r="B55" s="20">
        <v>104</v>
      </c>
      <c r="C55" s="11" t="s">
        <v>657</v>
      </c>
      <c r="D55" s="139">
        <f>0.0012*2</f>
        <v>2.3999999999999998E-3</v>
      </c>
      <c r="E55" s="18" t="s">
        <v>658</v>
      </c>
      <c r="F55" s="100">
        <v>185.84</v>
      </c>
      <c r="G55" s="101">
        <v>0</v>
      </c>
      <c r="H55" s="324">
        <f>F55*D55</f>
        <v>0.44601599999999997</v>
      </c>
    </row>
    <row r="56" spans="1:8">
      <c r="A56" s="319" t="s">
        <v>545</v>
      </c>
      <c r="B56" s="152">
        <v>1421</v>
      </c>
      <c r="C56" s="11" t="s">
        <v>659</v>
      </c>
      <c r="D56" s="99">
        <v>1</v>
      </c>
      <c r="E56" s="18" t="s">
        <v>640</v>
      </c>
      <c r="F56" s="100">
        <v>387.62</v>
      </c>
      <c r="G56" s="129">
        <v>0</v>
      </c>
      <c r="H56" s="324">
        <f>F56*D56</f>
        <v>387.62</v>
      </c>
    </row>
    <row r="57" spans="1:8">
      <c r="A57" s="319" t="s">
        <v>545</v>
      </c>
      <c r="B57" s="20">
        <v>1215</v>
      </c>
      <c r="C57" s="11" t="s">
        <v>660</v>
      </c>
      <c r="D57" s="99">
        <f>0.5657*2</f>
        <v>1.1314</v>
      </c>
      <c r="E57" s="132" t="s">
        <v>58</v>
      </c>
      <c r="F57" s="133">
        <v>0.63</v>
      </c>
      <c r="G57" s="129">
        <v>0</v>
      </c>
      <c r="H57" s="324">
        <f>F57*D57</f>
        <v>0.71278200000000003</v>
      </c>
    </row>
    <row r="58" spans="1:8">
      <c r="A58" s="319" t="s">
        <v>545</v>
      </c>
      <c r="B58" s="325">
        <v>2768</v>
      </c>
      <c r="C58" s="11" t="s">
        <v>661</v>
      </c>
      <c r="D58" s="323">
        <v>3</v>
      </c>
      <c r="E58" s="40" t="s">
        <v>58</v>
      </c>
      <c r="F58" s="136">
        <v>13.22</v>
      </c>
      <c r="G58" s="131"/>
      <c r="H58" s="324">
        <f>F58*D58</f>
        <v>39.660000000000004</v>
      </c>
    </row>
    <row r="59" spans="1:8">
      <c r="A59" s="319" t="s">
        <v>545</v>
      </c>
      <c r="B59" s="20">
        <v>4</v>
      </c>
      <c r="C59" s="11" t="s">
        <v>662</v>
      </c>
      <c r="D59" s="99">
        <v>1.5</v>
      </c>
      <c r="E59" s="134" t="s">
        <v>488</v>
      </c>
      <c r="F59" s="135">
        <v>0</v>
      </c>
      <c r="G59" s="129">
        <v>10.23</v>
      </c>
      <c r="H59" s="324">
        <f>G59*D59</f>
        <v>15.345000000000001</v>
      </c>
    </row>
    <row r="60" spans="1:8">
      <c r="A60" s="319" t="s">
        <v>545</v>
      </c>
      <c r="B60" s="20">
        <v>5</v>
      </c>
      <c r="C60" s="11" t="s">
        <v>641</v>
      </c>
      <c r="D60" s="99">
        <v>1.2</v>
      </c>
      <c r="E60" s="18" t="s">
        <v>488</v>
      </c>
      <c r="F60" s="100">
        <v>0</v>
      </c>
      <c r="G60" s="100">
        <v>6.12</v>
      </c>
      <c r="H60" s="324">
        <f>G60*D60</f>
        <v>7.3439999999999994</v>
      </c>
    </row>
    <row r="61" spans="1:8">
      <c r="A61" s="770" t="s">
        <v>631</v>
      </c>
      <c r="B61" s="771"/>
      <c r="C61" s="771"/>
      <c r="D61" s="771"/>
      <c r="E61" s="771"/>
      <c r="F61" s="169">
        <f>F56*D56+F55*D55+F57*D57+F58*D58</f>
        <v>428.43879800000002</v>
      </c>
      <c r="G61" s="170">
        <f>SUM(G55*D55+G57*D57+G56*D56+G59*D59+G60*D60)</f>
        <v>22.689</v>
      </c>
      <c r="H61" s="326">
        <f>SUM(H55:H60)</f>
        <v>451.12779800000004</v>
      </c>
    </row>
    <row r="62" spans="1:8">
      <c r="A62" s="289" t="s">
        <v>663</v>
      </c>
      <c r="B62" s="774" t="s">
        <v>664</v>
      </c>
      <c r="C62" s="774"/>
      <c r="D62" s="774"/>
      <c r="E62" s="774"/>
      <c r="F62" s="774"/>
      <c r="G62" s="774"/>
      <c r="H62" s="775"/>
    </row>
    <row r="63" spans="1:8">
      <c r="A63" s="763" t="s">
        <v>626</v>
      </c>
      <c r="B63" s="764"/>
      <c r="C63" s="746" t="s">
        <v>536</v>
      </c>
      <c r="D63" s="746"/>
      <c r="E63" s="746"/>
      <c r="F63" s="746"/>
      <c r="G63" s="746"/>
      <c r="H63" s="747"/>
    </row>
    <row r="64" spans="1:8">
      <c r="A64" s="763"/>
      <c r="B64" s="764"/>
      <c r="C64" s="746" t="s">
        <v>628</v>
      </c>
      <c r="D64" s="746"/>
      <c r="E64" s="746"/>
      <c r="F64" s="746"/>
      <c r="G64" s="746"/>
      <c r="H64" s="747"/>
    </row>
    <row r="65" spans="1:18">
      <c r="A65" s="479" t="s">
        <v>538</v>
      </c>
      <c r="B65" s="479" t="s">
        <v>7</v>
      </c>
      <c r="C65" s="480" t="s">
        <v>586</v>
      </c>
      <c r="D65" s="479" t="s">
        <v>665</v>
      </c>
      <c r="E65" s="479" t="s">
        <v>666</v>
      </c>
      <c r="F65" s="479" t="s">
        <v>542</v>
      </c>
      <c r="G65" s="479" t="s">
        <v>543</v>
      </c>
      <c r="H65" s="479" t="s">
        <v>13</v>
      </c>
    </row>
    <row r="66" spans="1:18">
      <c r="A66" s="481" t="s">
        <v>545</v>
      </c>
      <c r="B66" s="482">
        <v>2390</v>
      </c>
      <c r="C66" s="98" t="s">
        <v>667</v>
      </c>
      <c r="D66" s="339">
        <v>3.5</v>
      </c>
      <c r="E66" s="43" t="s">
        <v>58</v>
      </c>
      <c r="F66" s="336">
        <v>1.38</v>
      </c>
      <c r="G66" s="336">
        <v>0</v>
      </c>
      <c r="H66" s="338">
        <f>(G66+F66)*D66</f>
        <v>4.83</v>
      </c>
    </row>
    <row r="67" spans="1:18" ht="28.5">
      <c r="A67" s="481" t="s">
        <v>544</v>
      </c>
      <c r="B67" s="339">
        <v>11236</v>
      </c>
      <c r="C67" s="11" t="s">
        <v>668</v>
      </c>
      <c r="D67" s="339">
        <v>1</v>
      </c>
      <c r="E67" s="43" t="s">
        <v>607</v>
      </c>
      <c r="F67" s="336">
        <v>276.39</v>
      </c>
      <c r="G67" s="336">
        <v>0</v>
      </c>
      <c r="H67" s="338">
        <f>(G67+F67)*D67</f>
        <v>276.39</v>
      </c>
    </row>
    <row r="68" spans="1:18" ht="57">
      <c r="A68" s="481" t="s">
        <v>544</v>
      </c>
      <c r="B68" s="482">
        <v>5679</v>
      </c>
      <c r="C68" s="11" t="s">
        <v>669</v>
      </c>
      <c r="D68" s="339">
        <v>1.3</v>
      </c>
      <c r="E68" s="43" t="s">
        <v>640</v>
      </c>
      <c r="F68" s="336">
        <v>55</v>
      </c>
      <c r="G68" s="336">
        <v>0</v>
      </c>
      <c r="H68" s="338">
        <f>(G68+F68)*D68</f>
        <v>71.5</v>
      </c>
    </row>
    <row r="69" spans="1:18" ht="28.5">
      <c r="A69" s="481" t="s">
        <v>544</v>
      </c>
      <c r="B69" s="482">
        <v>101624</v>
      </c>
      <c r="C69" s="11" t="s">
        <v>670</v>
      </c>
      <c r="D69" s="339">
        <v>0.3</v>
      </c>
      <c r="E69" s="43" t="s">
        <v>658</v>
      </c>
      <c r="F69" s="336">
        <v>187.98</v>
      </c>
      <c r="G69" s="336">
        <v>0</v>
      </c>
      <c r="H69" s="338">
        <f t="shared" ref="H69:H72" si="0">(G69+F69)*D69</f>
        <v>56.393999999999998</v>
      </c>
    </row>
    <row r="70" spans="1:18">
      <c r="A70" s="481" t="s">
        <v>545</v>
      </c>
      <c r="B70" s="483">
        <v>4</v>
      </c>
      <c r="C70" s="11" t="s">
        <v>662</v>
      </c>
      <c r="D70" s="339">
        <v>0.3</v>
      </c>
      <c r="E70" s="43" t="s">
        <v>488</v>
      </c>
      <c r="F70" s="336">
        <v>0</v>
      </c>
      <c r="G70" s="336">
        <v>10.23</v>
      </c>
      <c r="H70" s="338">
        <f t="shared" si="0"/>
        <v>3.069</v>
      </c>
    </row>
    <row r="71" spans="1:18">
      <c r="A71" s="484" t="s">
        <v>545</v>
      </c>
      <c r="B71" s="340">
        <v>5</v>
      </c>
      <c r="C71" s="11" t="s">
        <v>641</v>
      </c>
      <c r="D71" s="340">
        <v>0.25</v>
      </c>
      <c r="E71" s="141" t="s">
        <v>488</v>
      </c>
      <c r="F71" s="337">
        <v>0</v>
      </c>
      <c r="G71" s="100">
        <v>6.12</v>
      </c>
      <c r="H71" s="338">
        <f t="shared" si="0"/>
        <v>1.53</v>
      </c>
    </row>
    <row r="72" spans="1:18">
      <c r="A72" s="484" t="s">
        <v>545</v>
      </c>
      <c r="B72" s="482">
        <v>70713</v>
      </c>
      <c r="C72" s="11" t="s">
        <v>671</v>
      </c>
      <c r="D72" s="339">
        <v>1</v>
      </c>
      <c r="E72" s="43" t="s">
        <v>607</v>
      </c>
      <c r="F72" s="336">
        <v>66.209999999999994</v>
      </c>
      <c r="G72" s="336">
        <v>95.11</v>
      </c>
      <c r="H72" s="338">
        <f t="shared" si="0"/>
        <v>161.32</v>
      </c>
      <c r="I72" s="758"/>
      <c r="J72" s="759"/>
      <c r="K72" s="759"/>
      <c r="L72" s="759"/>
      <c r="M72" s="759"/>
      <c r="N72" s="759"/>
      <c r="O72" s="759"/>
      <c r="P72" s="759"/>
      <c r="Q72" s="759"/>
      <c r="R72" s="759"/>
    </row>
    <row r="73" spans="1:18" ht="25.5" customHeight="1">
      <c r="A73" s="760" t="s">
        <v>631</v>
      </c>
      <c r="B73" s="761"/>
      <c r="C73" s="761"/>
      <c r="D73" s="761"/>
      <c r="E73" s="762"/>
      <c r="F73" s="485">
        <f>SUM(F66*D66,F67*D67,F68*D68,F69*D69,F72*D72)</f>
        <v>475.32399999999996</v>
      </c>
      <c r="G73" s="486">
        <f>SUM(G70*D70,G71*D71,G72*D72)</f>
        <v>99.709000000000003</v>
      </c>
      <c r="H73" s="495">
        <f>SUM(H66:H72)</f>
        <v>575.0329999999999</v>
      </c>
      <c r="I73" s="758"/>
      <c r="J73" s="759"/>
      <c r="K73" s="759"/>
      <c r="L73" s="759"/>
      <c r="M73" s="759"/>
      <c r="N73" s="759"/>
      <c r="O73" s="759"/>
      <c r="P73" s="759"/>
      <c r="Q73" s="759"/>
      <c r="R73" s="759"/>
    </row>
    <row r="74" spans="1:18">
      <c r="A74" s="327"/>
      <c r="B74" s="328"/>
      <c r="C74" s="489"/>
      <c r="D74" s="328"/>
      <c r="E74" s="328"/>
      <c r="F74" s="329"/>
      <c r="G74" s="329"/>
      <c r="H74" s="330"/>
    </row>
    <row r="75" spans="1:18">
      <c r="A75" s="490"/>
      <c r="B75" s="487"/>
      <c r="C75" s="489"/>
      <c r="D75" s="491"/>
      <c r="E75" s="491"/>
      <c r="F75" s="491"/>
      <c r="G75" s="491"/>
      <c r="H75" s="766"/>
    </row>
    <row r="76" spans="1:18">
      <c r="A76" s="488"/>
      <c r="B76" s="487"/>
      <c r="C76" s="776" t="s">
        <v>672</v>
      </c>
      <c r="D76" s="776"/>
      <c r="E76" s="776"/>
      <c r="F76" s="776"/>
      <c r="G76" s="776"/>
      <c r="H76" s="766"/>
    </row>
    <row r="77" spans="1:18">
      <c r="A77" s="772"/>
      <c r="B77" s="773"/>
      <c r="C77" s="777" t="s">
        <v>534</v>
      </c>
      <c r="D77" s="777"/>
      <c r="E77" s="777"/>
      <c r="F77" s="777"/>
      <c r="G77" s="777"/>
      <c r="H77" s="766"/>
    </row>
    <row r="78" spans="1:18">
      <c r="A78" s="772"/>
      <c r="B78" s="773"/>
      <c r="C78" s="777" t="s">
        <v>673</v>
      </c>
      <c r="D78" s="777"/>
      <c r="E78" s="777"/>
      <c r="F78" s="777"/>
      <c r="G78" s="777"/>
      <c r="H78" s="766"/>
    </row>
    <row r="79" spans="1:18">
      <c r="A79" s="772"/>
      <c r="B79" s="773"/>
      <c r="C79" s="331"/>
      <c r="D79" s="491"/>
      <c r="E79" s="491"/>
      <c r="F79" s="491"/>
      <c r="G79" s="491"/>
      <c r="H79" s="766"/>
    </row>
    <row r="80" spans="1:18">
      <c r="A80" s="767"/>
      <c r="B80" s="768"/>
      <c r="C80" s="768"/>
      <c r="D80" s="768"/>
      <c r="E80" s="768"/>
      <c r="F80" s="768"/>
      <c r="G80" s="768"/>
      <c r="H80" s="769"/>
    </row>
    <row r="81" spans="1:8">
      <c r="A81" s="784"/>
      <c r="B81" s="784"/>
      <c r="C81" s="113"/>
      <c r="D81" s="220"/>
      <c r="E81" s="219"/>
      <c r="F81" s="221"/>
      <c r="G81" s="221"/>
      <c r="H81" s="222"/>
    </row>
    <row r="82" spans="1:8">
      <c r="A82" s="765"/>
      <c r="B82" s="765"/>
      <c r="C82" s="765"/>
      <c r="D82" s="765"/>
      <c r="E82" s="765"/>
      <c r="F82" s="223"/>
      <c r="G82" s="223"/>
      <c r="H82" s="224"/>
    </row>
  </sheetData>
  <sheetProtection formatCells="0" formatColumns="0" formatRows="0" insertColumns="0" insertRows="0" insertHyperlinks="0" deleteColumns="0" deleteRows="0" sort="0" autoFilter="0" pivotTables="0"/>
  <mergeCells count="52">
    <mergeCell ref="B3:H3"/>
    <mergeCell ref="B2:H2"/>
    <mergeCell ref="A5:H6"/>
    <mergeCell ref="B1:H1"/>
    <mergeCell ref="A81:B81"/>
    <mergeCell ref="A44:B45"/>
    <mergeCell ref="B4:H4"/>
    <mergeCell ref="C25:H25"/>
    <mergeCell ref="B43:H43"/>
    <mergeCell ref="C44:H44"/>
    <mergeCell ref="B7:H7"/>
    <mergeCell ref="A21:B21"/>
    <mergeCell ref="A22:E22"/>
    <mergeCell ref="C8:H8"/>
    <mergeCell ref="A8:B9"/>
    <mergeCell ref="C9:H9"/>
    <mergeCell ref="A82:E82"/>
    <mergeCell ref="H75:H79"/>
    <mergeCell ref="A80:H80"/>
    <mergeCell ref="C52:H53"/>
    <mergeCell ref="A61:E61"/>
    <mergeCell ref="A77:B79"/>
    <mergeCell ref="B62:H62"/>
    <mergeCell ref="C76:G76"/>
    <mergeCell ref="C77:G77"/>
    <mergeCell ref="C78:G78"/>
    <mergeCell ref="I72:R73"/>
    <mergeCell ref="C63:H63"/>
    <mergeCell ref="C64:H64"/>
    <mergeCell ref="A73:E73"/>
    <mergeCell ref="A63:B64"/>
    <mergeCell ref="A13:B13"/>
    <mergeCell ref="A14:E14"/>
    <mergeCell ref="B15:H15"/>
    <mergeCell ref="A16:B17"/>
    <mergeCell ref="C16:H16"/>
    <mergeCell ref="C17:H17"/>
    <mergeCell ref="B23:H23"/>
    <mergeCell ref="A24:B25"/>
    <mergeCell ref="C24:H24"/>
    <mergeCell ref="A42:E42"/>
    <mergeCell ref="A35:B35"/>
    <mergeCell ref="A30:E30"/>
    <mergeCell ref="B31:H31"/>
    <mergeCell ref="A27:B27"/>
    <mergeCell ref="A50:E50"/>
    <mergeCell ref="B51:H51"/>
    <mergeCell ref="A52:B53"/>
    <mergeCell ref="C45:H45"/>
    <mergeCell ref="A32:B33"/>
    <mergeCell ref="C32:H32"/>
    <mergeCell ref="C33:H33"/>
  </mergeCells>
  <pageMargins left="0.7" right="0.7" top="0.75" bottom="0.75" header="0.3" footer="0.3"/>
  <pageSetup paperSize="9" scale="66" fitToHeight="0" orientation="landscape" horizontalDpi="300" verticalDpi="300" r:id="rId1"/>
  <rowBreaks count="1" manualBreakCount="1">
    <brk id="4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MEMÓRIA DE CÁLCULO</vt:lpstr>
      <vt:lpstr>ORÇAMENTO </vt:lpstr>
      <vt:lpstr>COTAÇÕES</vt:lpstr>
      <vt:lpstr>COMPOSIÇÕES</vt:lpstr>
      <vt:lpstr>COMPOSIÇÕES!Area_de_impressao</vt:lpstr>
      <vt:lpstr>COTAÇÕES!Area_de_impressao</vt:lpstr>
      <vt:lpstr>'MEMÓRIA DE CÁLCULO'!Area_de_impressao</vt:lpstr>
      <vt:lpstr>'ORÇAMENTO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Drielid Rocha</cp:lastModifiedBy>
  <cp:revision/>
  <cp:lastPrinted>2023-12-19T12:51:25Z</cp:lastPrinted>
  <dcterms:created xsi:type="dcterms:W3CDTF">2017-11-14T15:22:18Z</dcterms:created>
  <dcterms:modified xsi:type="dcterms:W3CDTF">2023-12-20T14:00:52Z</dcterms:modified>
  <cp:category/>
  <cp:contentStatus/>
</cp:coreProperties>
</file>