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0496" windowHeight="7752"/>
  </bookViews>
  <sheets>
    <sheet name="ORÇAMENTO" sheetId="1" r:id="rId1"/>
    <sheet name="MEMÓRIA DE CÁLCULO" sheetId="2" r:id="rId2"/>
    <sheet name="BDI" sheetId="6" r:id="rId3"/>
    <sheet name="CRONOGRAMA" sheetId="3" r:id="rId4"/>
    <sheet name="MATERIAL ASFÁLTICO" sheetId="7" r:id="rId5"/>
    <sheet name="COMPOSIÇÃO" sheetId="4" r:id="rId6"/>
    <sheet name="MOBILIZAÇÃO" sheetId="8" r:id="rId7"/>
  </sheets>
  <definedNames>
    <definedName name="_xlnm._FilterDatabase" localSheetId="0" hidden="1">ORÇAMENTO!#REF!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3" l="1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K34" i="3"/>
  <c r="J34" i="3"/>
  <c r="I34" i="3"/>
  <c r="H34" i="3"/>
  <c r="G34" i="3"/>
  <c r="F34" i="3"/>
  <c r="E34" i="3"/>
  <c r="D34" i="3"/>
  <c r="C34" i="3"/>
  <c r="R37" i="3"/>
  <c r="B36" i="3" l="1"/>
  <c r="B35" i="3"/>
  <c r="B34" i="3"/>
  <c r="J11" i="1" l="1"/>
  <c r="J10" i="1"/>
  <c r="J9" i="1"/>
  <c r="A10" i="4" l="1"/>
  <c r="A10" i="8" s="1"/>
  <c r="A8" i="4"/>
  <c r="A8" i="8" s="1"/>
  <c r="A7" i="4"/>
  <c r="A7" i="8" s="1"/>
  <c r="A6" i="4"/>
  <c r="A6" i="8" s="1"/>
  <c r="A5" i="4"/>
  <c r="A5" i="8" s="1"/>
  <c r="A4" i="4"/>
  <c r="A4" i="8" s="1"/>
  <c r="A2" i="4"/>
  <c r="A2" i="8" s="1"/>
  <c r="A1" i="4"/>
  <c r="A1" i="8" s="1"/>
  <c r="G28" i="8"/>
  <c r="I28" i="8" s="1"/>
  <c r="G27" i="8"/>
  <c r="I27" i="8" s="1"/>
  <c r="G26" i="8"/>
  <c r="I26" i="8" s="1"/>
  <c r="G25" i="8"/>
  <c r="I25" i="8" s="1"/>
  <c r="G24" i="8"/>
  <c r="I24" i="8" s="1"/>
  <c r="G23" i="8"/>
  <c r="I23" i="8" s="1"/>
  <c r="G22" i="8"/>
  <c r="I22" i="8" s="1"/>
  <c r="G21" i="8"/>
  <c r="I21" i="8" s="1"/>
  <c r="G20" i="8"/>
  <c r="I20" i="8" s="1"/>
  <c r="G19" i="8"/>
  <c r="I19" i="8" s="1"/>
  <c r="G18" i="8"/>
  <c r="I18" i="8" s="1"/>
  <c r="G17" i="8"/>
  <c r="I17" i="8" s="1"/>
  <c r="G16" i="8"/>
  <c r="I16" i="8" s="1"/>
  <c r="G15" i="8"/>
  <c r="I15" i="8" s="1"/>
  <c r="G14" i="8"/>
  <c r="I14" i="8" s="1"/>
  <c r="G13" i="8"/>
  <c r="I13" i="8" s="1"/>
  <c r="I29" i="8" l="1"/>
  <c r="G416" i="1" s="1"/>
  <c r="J416" i="1" s="1"/>
  <c r="K417" i="1" s="1"/>
  <c r="O36" i="3" s="1"/>
  <c r="F44" i="4" l="1"/>
  <c r="F41" i="4"/>
  <c r="F39" i="4"/>
  <c r="F38" i="4"/>
  <c r="F37" i="4"/>
  <c r="F43" i="4"/>
  <c r="F42" i="4"/>
  <c r="F40" i="4"/>
  <c r="F36" i="4"/>
  <c r="F35" i="4"/>
  <c r="F34" i="4"/>
  <c r="F26" i="4"/>
  <c r="F23" i="4"/>
  <c r="F24" i="4"/>
  <c r="F25" i="4"/>
  <c r="F27" i="4"/>
  <c r="F28" i="4"/>
  <c r="F29" i="4"/>
  <c r="F45" i="4" l="1"/>
  <c r="G413" i="1" s="1"/>
  <c r="J413" i="1" s="1"/>
  <c r="K414" i="1" s="1"/>
  <c r="O35" i="3" s="1"/>
  <c r="F30" i="4"/>
  <c r="G410" i="1" s="1"/>
  <c r="J410" i="1" s="1"/>
  <c r="K411" i="1" s="1"/>
  <c r="O34" i="3" s="1"/>
  <c r="A8" i="7" l="1"/>
  <c r="A7" i="7"/>
  <c r="A6" i="7"/>
  <c r="A5" i="7"/>
  <c r="A4" i="7"/>
  <c r="A2" i="7"/>
  <c r="A1" i="7"/>
  <c r="A8" i="3"/>
  <c r="A7" i="3"/>
  <c r="A6" i="3"/>
  <c r="A5" i="3"/>
  <c r="A4" i="3"/>
  <c r="A2" i="3"/>
  <c r="A1" i="3"/>
  <c r="A10" i="6"/>
  <c r="A8" i="6"/>
  <c r="A7" i="6"/>
  <c r="A6" i="6"/>
  <c r="A5" i="6"/>
  <c r="A4" i="6"/>
  <c r="A2" i="6"/>
  <c r="A1" i="6"/>
  <c r="A7" i="2"/>
  <c r="A5" i="2"/>
  <c r="A6" i="2"/>
  <c r="A8" i="2"/>
  <c r="A4" i="2"/>
  <c r="F20" i="7"/>
  <c r="D965" i="2"/>
  <c r="D973" i="2" s="1"/>
  <c r="C965" i="2"/>
  <c r="B965" i="2"/>
  <c r="A965" i="2"/>
  <c r="E983" i="2"/>
  <c r="D983" i="2"/>
  <c r="C983" i="2"/>
  <c r="B983" i="2"/>
  <c r="A983" i="2"/>
  <c r="E29" i="7"/>
  <c r="G404" i="1" s="1"/>
  <c r="G20" i="7" l="1"/>
  <c r="G403" i="1" s="1"/>
  <c r="H20" i="7" l="1"/>
  <c r="I20" i="7" s="1"/>
  <c r="A926" i="2" l="1"/>
  <c r="A880" i="2"/>
  <c r="A771" i="2"/>
  <c r="A749" i="2"/>
  <c r="G981" i="2"/>
  <c r="G980" i="2"/>
  <c r="E979" i="2"/>
  <c r="D979" i="2"/>
  <c r="C979" i="2"/>
  <c r="B979" i="2"/>
  <c r="A979" i="2"/>
  <c r="H963" i="2"/>
  <c r="H962" i="2"/>
  <c r="H959" i="2"/>
  <c r="H958" i="2"/>
  <c r="E949" i="2"/>
  <c r="D949" i="2"/>
  <c r="C949" i="2"/>
  <c r="B949" i="2"/>
  <c r="A949" i="2"/>
  <c r="E945" i="2"/>
  <c r="D945" i="2"/>
  <c r="C945" i="2"/>
  <c r="B945" i="2"/>
  <c r="A945" i="2"/>
  <c r="F943" i="2"/>
  <c r="J943" i="2" s="1"/>
  <c r="F942" i="2"/>
  <c r="J942" i="2" s="1"/>
  <c r="F946" i="2" l="1"/>
  <c r="J946" i="2" s="1"/>
  <c r="F947" i="2"/>
  <c r="F951" i="2" s="1"/>
  <c r="J944" i="2"/>
  <c r="E397" i="1" s="1"/>
  <c r="J397" i="1" s="1"/>
  <c r="J947" i="2" l="1"/>
  <c r="J948" i="2" s="1"/>
  <c r="E398" i="1" s="1"/>
  <c r="J398" i="1" s="1"/>
  <c r="F950" i="2"/>
  <c r="J951" i="2"/>
  <c r="F955" i="2"/>
  <c r="F959" i="2" s="1"/>
  <c r="F963" i="2" s="1"/>
  <c r="J931" i="2"/>
  <c r="F977" i="2" l="1"/>
  <c r="J977" i="2" s="1"/>
  <c r="J950" i="2"/>
  <c r="J952" i="2" s="1"/>
  <c r="E399" i="1" s="1"/>
  <c r="J399" i="1" s="1"/>
  <c r="F954" i="2"/>
  <c r="F958" i="2" s="1"/>
  <c r="F962" i="2" s="1"/>
  <c r="F19" i="7"/>
  <c r="F18" i="7"/>
  <c r="A10" i="7"/>
  <c r="F278" i="2"/>
  <c r="F279" i="2"/>
  <c r="F280" i="2"/>
  <c r="F281" i="2"/>
  <c r="F283" i="2"/>
  <c r="F284" i="2"/>
  <c r="F285" i="2"/>
  <c r="F287" i="2"/>
  <c r="F288" i="2"/>
  <c r="F289" i="2"/>
  <c r="F291" i="2"/>
  <c r="F292" i="2"/>
  <c r="F293" i="2"/>
  <c r="F295" i="2"/>
  <c r="F296" i="2"/>
  <c r="F300" i="2"/>
  <c r="F302" i="2"/>
  <c r="F303" i="2"/>
  <c r="F305" i="2"/>
  <c r="F309" i="2"/>
  <c r="F312" i="2"/>
  <c r="F313" i="2"/>
  <c r="F314" i="2"/>
  <c r="F317" i="2"/>
  <c r="F321" i="2"/>
  <c r="F322" i="2"/>
  <c r="F324" i="2"/>
  <c r="F326" i="2"/>
  <c r="F329" i="2"/>
  <c r="F332" i="2"/>
  <c r="F334" i="2"/>
  <c r="F336" i="2"/>
  <c r="F338" i="2"/>
  <c r="F345" i="2"/>
  <c r="F347" i="2"/>
  <c r="F350" i="2"/>
  <c r="F353" i="2"/>
  <c r="F356" i="2"/>
  <c r="F357" i="2"/>
  <c r="F358" i="2"/>
  <c r="F360" i="2"/>
  <c r="F362" i="2"/>
  <c r="F363" i="2"/>
  <c r="F365" i="2"/>
  <c r="F367" i="2"/>
  <c r="F368" i="2"/>
  <c r="F373" i="2"/>
  <c r="F376" i="2"/>
  <c r="F377" i="2"/>
  <c r="F379" i="2"/>
  <c r="F380" i="2"/>
  <c r="F382" i="2"/>
  <c r="F383" i="2"/>
  <c r="F384" i="2"/>
  <c r="F386" i="2"/>
  <c r="F391" i="2"/>
  <c r="F394" i="2"/>
  <c r="F397" i="2"/>
  <c r="F399" i="2"/>
  <c r="F401" i="2"/>
  <c r="F402" i="2"/>
  <c r="F405" i="2"/>
  <c r="F412" i="2"/>
  <c r="F413" i="2"/>
  <c r="F414" i="2"/>
  <c r="F415" i="2"/>
  <c r="F416" i="2"/>
  <c r="F417" i="2"/>
  <c r="F418" i="2"/>
  <c r="F419" i="2"/>
  <c r="F420" i="2"/>
  <c r="E278" i="2"/>
  <c r="E279" i="2"/>
  <c r="E280" i="2"/>
  <c r="E281" i="2"/>
  <c r="E283" i="2"/>
  <c r="E284" i="2"/>
  <c r="E285" i="2"/>
  <c r="E286" i="2"/>
  <c r="E287" i="2"/>
  <c r="E288" i="2"/>
  <c r="E289" i="2"/>
  <c r="E291" i="2"/>
  <c r="E292" i="2"/>
  <c r="E293" i="2"/>
  <c r="E295" i="2"/>
  <c r="E296" i="2"/>
  <c r="E297" i="2"/>
  <c r="E298" i="2"/>
  <c r="E299" i="2"/>
  <c r="E300" i="2"/>
  <c r="E302" i="2"/>
  <c r="E303" i="2"/>
  <c r="E304" i="2"/>
  <c r="E305" i="2"/>
  <c r="E306" i="2"/>
  <c r="E308" i="2"/>
  <c r="E309" i="2"/>
  <c r="E310" i="2"/>
  <c r="E311" i="2"/>
  <c r="E312" i="2"/>
  <c r="E313" i="2"/>
  <c r="E314" i="2"/>
  <c r="E317" i="2"/>
  <c r="E318" i="2"/>
  <c r="E319" i="2"/>
  <c r="E320" i="2"/>
  <c r="E321" i="2"/>
  <c r="E322" i="2"/>
  <c r="E323" i="2"/>
  <c r="E324" i="2"/>
  <c r="E326" i="2"/>
  <c r="E327" i="2"/>
  <c r="E328" i="2"/>
  <c r="E329" i="2"/>
  <c r="E331" i="2"/>
  <c r="E332" i="2"/>
  <c r="E334" i="2"/>
  <c r="E335" i="2"/>
  <c r="E336" i="2"/>
  <c r="E337" i="2"/>
  <c r="E338" i="2"/>
  <c r="E339" i="2"/>
  <c r="E340" i="2"/>
  <c r="E342" i="2"/>
  <c r="E343" i="2"/>
  <c r="E344" i="2"/>
  <c r="E345" i="2"/>
  <c r="E346" i="2"/>
  <c r="E347" i="2"/>
  <c r="E348" i="2"/>
  <c r="E350" i="2"/>
  <c r="E353" i="2"/>
  <c r="E355" i="2"/>
  <c r="E356" i="2"/>
  <c r="E357" i="2"/>
  <c r="E358" i="2"/>
  <c r="E360" i="2"/>
  <c r="E361" i="2"/>
  <c r="E362" i="2"/>
  <c r="E363" i="2"/>
  <c r="E364" i="2"/>
  <c r="E365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2" i="2"/>
  <c r="E383" i="2"/>
  <c r="E384" i="2"/>
  <c r="E385" i="2"/>
  <c r="E386" i="2"/>
  <c r="E387" i="2"/>
  <c r="E388" i="2"/>
  <c r="E390" i="2"/>
  <c r="E391" i="2"/>
  <c r="E392" i="2"/>
  <c r="E393" i="2"/>
  <c r="E394" i="2"/>
  <c r="E396" i="2"/>
  <c r="E397" i="2"/>
  <c r="E399" i="2"/>
  <c r="E401" i="2"/>
  <c r="E402" i="2"/>
  <c r="E404" i="2"/>
  <c r="E405" i="2"/>
  <c r="E406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D277" i="2"/>
  <c r="D278" i="2"/>
  <c r="D276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F200" i="2"/>
  <c r="F202" i="2"/>
  <c r="F205" i="2"/>
  <c r="F210" i="2"/>
  <c r="F211" i="2"/>
  <c r="F212" i="2"/>
  <c r="F213" i="2"/>
  <c r="F214" i="2"/>
  <c r="F215" i="2"/>
  <c r="F216" i="2"/>
  <c r="F217" i="2"/>
  <c r="F219" i="2"/>
  <c r="F220" i="2"/>
  <c r="F225" i="2"/>
  <c r="F238" i="2"/>
  <c r="F244" i="2"/>
  <c r="F250" i="2"/>
  <c r="F251" i="2"/>
  <c r="F254" i="2"/>
  <c r="F255" i="2"/>
  <c r="F256" i="2"/>
  <c r="F258" i="2"/>
  <c r="F261" i="2"/>
  <c r="F262" i="2"/>
  <c r="F264" i="2"/>
  <c r="F269" i="2"/>
  <c r="F270" i="2"/>
  <c r="F271" i="2"/>
  <c r="F272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J120" i="1"/>
  <c r="J144" i="1"/>
  <c r="J191" i="1"/>
  <c r="J199" i="1"/>
  <c r="J182" i="1"/>
  <c r="J178" i="1"/>
  <c r="J195" i="2"/>
  <c r="J192" i="2"/>
  <c r="J182" i="2"/>
  <c r="J181" i="2"/>
  <c r="J180" i="2"/>
  <c r="J176" i="2"/>
  <c r="J177" i="2"/>
  <c r="J178" i="2"/>
  <c r="J175" i="2"/>
  <c r="J179" i="2"/>
  <c r="J172" i="2"/>
  <c r="J171" i="2"/>
  <c r="J148" i="2"/>
  <c r="J170" i="2"/>
  <c r="J169" i="2"/>
  <c r="J162" i="2"/>
  <c r="J161" i="2"/>
  <c r="J167" i="2"/>
  <c r="J168" i="2"/>
  <c r="J165" i="2"/>
  <c r="J112" i="2"/>
  <c r="J94" i="2"/>
  <c r="J85" i="2"/>
  <c r="J146" i="2"/>
  <c r="J147" i="2"/>
  <c r="J157" i="2"/>
  <c r="J156" i="2"/>
  <c r="J153" i="2"/>
  <c r="J154" i="2"/>
  <c r="J152" i="2"/>
  <c r="J141" i="2"/>
  <c r="J145" i="2"/>
  <c r="J137" i="2"/>
  <c r="J136" i="2"/>
  <c r="J70" i="2"/>
  <c r="J78" i="2"/>
  <c r="J134" i="2"/>
  <c r="J135" i="2"/>
  <c r="J133" i="2"/>
  <c r="J132" i="2"/>
  <c r="B194" i="2"/>
  <c r="C194" i="2"/>
  <c r="D194" i="2"/>
  <c r="A194" i="2"/>
  <c r="B191" i="2"/>
  <c r="C191" i="2"/>
  <c r="D191" i="2"/>
  <c r="A191" i="2"/>
  <c r="B187" i="2"/>
  <c r="C187" i="2"/>
  <c r="D187" i="2"/>
  <c r="A187" i="2"/>
  <c r="E174" i="2"/>
  <c r="B184" i="2"/>
  <c r="C184" i="2"/>
  <c r="D184" i="2"/>
  <c r="A184" i="2"/>
  <c r="B174" i="2"/>
  <c r="C174" i="2"/>
  <c r="D174" i="2"/>
  <c r="A174" i="2"/>
  <c r="J131" i="2"/>
  <c r="J130" i="2"/>
  <c r="J124" i="2"/>
  <c r="J125" i="2"/>
  <c r="J126" i="2"/>
  <c r="J127" i="2"/>
  <c r="J123" i="2"/>
  <c r="J119" i="2"/>
  <c r="J120" i="2"/>
  <c r="J121" i="2"/>
  <c r="J122" i="2"/>
  <c r="J118" i="2"/>
  <c r="J68" i="2"/>
  <c r="J69" i="2"/>
  <c r="J71" i="2"/>
  <c r="J67" i="2"/>
  <c r="J113" i="2"/>
  <c r="J93" i="2"/>
  <c r="J84" i="2"/>
  <c r="D85" i="2"/>
  <c r="J77" i="2"/>
  <c r="J99" i="2"/>
  <c r="J111" i="2"/>
  <c r="J106" i="2"/>
  <c r="J107" i="2" s="1"/>
  <c r="E43" i="1" s="1"/>
  <c r="J103" i="2"/>
  <c r="J104" i="2" s="1"/>
  <c r="E42" i="1" s="1"/>
  <c r="J98" i="2"/>
  <c r="J88" i="2"/>
  <c r="J89" i="2" s="1"/>
  <c r="E39" i="1" s="1"/>
  <c r="J110" i="2"/>
  <c r="J92" i="2"/>
  <c r="J109" i="2"/>
  <c r="B108" i="2"/>
  <c r="C108" i="2"/>
  <c r="D108" i="2"/>
  <c r="B105" i="2"/>
  <c r="C105" i="2"/>
  <c r="D105" i="2"/>
  <c r="A108" i="2"/>
  <c r="A105" i="2"/>
  <c r="E102" i="2"/>
  <c r="D102" i="2"/>
  <c r="C102" i="2"/>
  <c r="B102" i="2"/>
  <c r="A102" i="2"/>
  <c r="E87" i="2"/>
  <c r="D87" i="2"/>
  <c r="C87" i="2"/>
  <c r="B87" i="2"/>
  <c r="A87" i="2"/>
  <c r="J91" i="2"/>
  <c r="J82" i="2"/>
  <c r="J83" i="2"/>
  <c r="J81" i="2"/>
  <c r="D84" i="2"/>
  <c r="D83" i="2"/>
  <c r="D82" i="2"/>
  <c r="D81" i="2"/>
  <c r="F981" i="2" l="1"/>
  <c r="J981" i="2" s="1"/>
  <c r="F967" i="2"/>
  <c r="J967" i="2" s="1"/>
  <c r="F976" i="2"/>
  <c r="F980" i="2" s="1"/>
  <c r="G19" i="7"/>
  <c r="H19" i="7" s="1"/>
  <c r="G18" i="7"/>
  <c r="G401" i="1" s="1"/>
  <c r="J183" i="2"/>
  <c r="J138" i="2"/>
  <c r="E49" i="1" s="1"/>
  <c r="J114" i="2"/>
  <c r="J128" i="2"/>
  <c r="E48" i="1" s="1"/>
  <c r="J72" i="2"/>
  <c r="E36" i="1" s="1"/>
  <c r="J86" i="2"/>
  <c r="J74" i="2"/>
  <c r="J976" i="2" l="1"/>
  <c r="F966" i="2" s="1"/>
  <c r="J966" i="2" s="1"/>
  <c r="J968" i="2" s="1"/>
  <c r="J980" i="2"/>
  <c r="J982" i="2" s="1"/>
  <c r="E406" i="1" s="1"/>
  <c r="J406" i="1" s="1"/>
  <c r="I19" i="7"/>
  <c r="G402" i="1"/>
  <c r="H18" i="7"/>
  <c r="I18" i="7" s="1"/>
  <c r="E55" i="1"/>
  <c r="F185" i="2"/>
  <c r="J185" i="2" s="1"/>
  <c r="E403" i="1" l="1"/>
  <c r="J403" i="1" s="1"/>
  <c r="F973" i="2"/>
  <c r="J973" i="2" s="1"/>
  <c r="J75" i="2"/>
  <c r="J76" i="2"/>
  <c r="J923" i="2"/>
  <c r="J917" i="2"/>
  <c r="J918" i="2"/>
  <c r="J920" i="2"/>
  <c r="J919" i="2"/>
  <c r="D917" i="2"/>
  <c r="D918" i="2"/>
  <c r="D919" i="2"/>
  <c r="D920" i="2"/>
  <c r="J914" i="2"/>
  <c r="J913" i="2"/>
  <c r="J912" i="2"/>
  <c r="J909" i="2"/>
  <c r="J906" i="2"/>
  <c r="J905" i="2"/>
  <c r="J904" i="2"/>
  <c r="J903" i="2"/>
  <c r="J902" i="2"/>
  <c r="J901" i="2"/>
  <c r="J890" i="2"/>
  <c r="J891" i="2"/>
  <c r="J892" i="2"/>
  <c r="J886" i="2"/>
  <c r="J887" i="2" s="1"/>
  <c r="E381" i="1" s="1"/>
  <c r="J882" i="2"/>
  <c r="J884" i="2" s="1"/>
  <c r="E380" i="1" s="1"/>
  <c r="E922" i="2"/>
  <c r="B922" i="2"/>
  <c r="C922" i="2"/>
  <c r="D922" i="2"/>
  <c r="A922" i="2"/>
  <c r="E916" i="2"/>
  <c r="B916" i="2"/>
  <c r="C916" i="2"/>
  <c r="D916" i="2"/>
  <c r="A916" i="2"/>
  <c r="E911" i="2"/>
  <c r="B911" i="2"/>
  <c r="C911" i="2"/>
  <c r="D911" i="2"/>
  <c r="A911" i="2"/>
  <c r="E908" i="2"/>
  <c r="B908" i="2"/>
  <c r="C908" i="2"/>
  <c r="D908" i="2"/>
  <c r="A908" i="2"/>
  <c r="E900" i="2"/>
  <c r="B900" i="2"/>
  <c r="C900" i="2"/>
  <c r="D900" i="2"/>
  <c r="A900" i="2"/>
  <c r="E897" i="2"/>
  <c r="B897" i="2"/>
  <c r="C897" i="2"/>
  <c r="D897" i="2"/>
  <c r="A897" i="2"/>
  <c r="E885" i="2"/>
  <c r="D885" i="2"/>
  <c r="B885" i="2"/>
  <c r="C885" i="2"/>
  <c r="A885" i="2"/>
  <c r="E881" i="2"/>
  <c r="D881" i="2"/>
  <c r="C881" i="2"/>
  <c r="B881" i="2"/>
  <c r="A881" i="2"/>
  <c r="A878" i="2"/>
  <c r="J874" i="2"/>
  <c r="J871" i="2"/>
  <c r="J870" i="2"/>
  <c r="J869" i="2"/>
  <c r="J868" i="2"/>
  <c r="J790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31" i="2"/>
  <c r="J832" i="2"/>
  <c r="J833" i="2"/>
  <c r="J834" i="2"/>
  <c r="J835" i="2"/>
  <c r="J836" i="2"/>
  <c r="J837" i="2"/>
  <c r="J838" i="2"/>
  <c r="J839" i="2"/>
  <c r="J840" i="2"/>
  <c r="J826" i="2"/>
  <c r="J825" i="2"/>
  <c r="J824" i="2"/>
  <c r="J823" i="2"/>
  <c r="J822" i="2"/>
  <c r="J819" i="2"/>
  <c r="J816" i="2"/>
  <c r="J815" i="2"/>
  <c r="J814" i="2"/>
  <c r="J812" i="2"/>
  <c r="J811" i="2"/>
  <c r="J810" i="2"/>
  <c r="J809" i="2"/>
  <c r="J808" i="2"/>
  <c r="J807" i="2"/>
  <c r="J806" i="2"/>
  <c r="J805" i="2"/>
  <c r="J804" i="2"/>
  <c r="J802" i="2"/>
  <c r="J803" i="2"/>
  <c r="J801" i="2"/>
  <c r="E876" i="2"/>
  <c r="D876" i="2"/>
  <c r="C876" i="2"/>
  <c r="B876" i="2"/>
  <c r="A876" i="2"/>
  <c r="J79" i="2" l="1"/>
  <c r="E37" i="1" s="1"/>
  <c r="J921" i="2"/>
  <c r="E388" i="1" s="1"/>
  <c r="J915" i="2"/>
  <c r="E387" i="1" s="1"/>
  <c r="J907" i="2"/>
  <c r="E385" i="1" s="1"/>
  <c r="J872" i="2"/>
  <c r="E374" i="1" s="1"/>
  <c r="J817" i="2"/>
  <c r="J813" i="2"/>
  <c r="J789" i="2" l="1"/>
  <c r="J788" i="2"/>
  <c r="J787" i="2"/>
  <c r="J785" i="2"/>
  <c r="J786" i="2"/>
  <c r="J784" i="2"/>
  <c r="J783" i="2"/>
  <c r="J782" i="2"/>
  <c r="J780" i="2"/>
  <c r="J781" i="2"/>
  <c r="J779" i="2"/>
  <c r="F857" i="2"/>
  <c r="F858" i="2"/>
  <c r="F859" i="2"/>
  <c r="F860" i="2"/>
  <c r="F861" i="2"/>
  <c r="F856" i="2"/>
  <c r="D861" i="2"/>
  <c r="D857" i="2"/>
  <c r="D858" i="2"/>
  <c r="D859" i="2"/>
  <c r="D860" i="2"/>
  <c r="D856" i="2"/>
  <c r="J794" i="2"/>
  <c r="J795" i="2"/>
  <c r="J796" i="2"/>
  <c r="J797" i="2"/>
  <c r="J798" i="2"/>
  <c r="D873" i="2"/>
  <c r="C873" i="2"/>
  <c r="B873" i="2"/>
  <c r="A873" i="2"/>
  <c r="D867" i="2"/>
  <c r="C867" i="2"/>
  <c r="B867" i="2"/>
  <c r="A867" i="2"/>
  <c r="D863" i="2"/>
  <c r="C863" i="2"/>
  <c r="B863" i="2"/>
  <c r="A863" i="2"/>
  <c r="D855" i="2"/>
  <c r="C855" i="2"/>
  <c r="B855" i="2"/>
  <c r="A855" i="2"/>
  <c r="D829" i="2"/>
  <c r="C829" i="2"/>
  <c r="B829" i="2"/>
  <c r="A829" i="2"/>
  <c r="D800" i="2"/>
  <c r="C800" i="2"/>
  <c r="B800" i="2"/>
  <c r="A800" i="2"/>
  <c r="D792" i="2"/>
  <c r="C792" i="2"/>
  <c r="B792" i="2"/>
  <c r="A792" i="2"/>
  <c r="D778" i="2"/>
  <c r="C778" i="2"/>
  <c r="B778" i="2"/>
  <c r="A778" i="2"/>
  <c r="D772" i="2"/>
  <c r="B772" i="2"/>
  <c r="A772" i="2"/>
  <c r="J791" i="2" l="1"/>
  <c r="E368" i="1" l="1"/>
  <c r="F877" i="2"/>
  <c r="J877" i="2" s="1"/>
  <c r="J878" i="2" s="1"/>
  <c r="E376" i="1" s="1"/>
  <c r="J376" i="1" s="1"/>
  <c r="J776" i="2" l="1"/>
  <c r="J775" i="2"/>
  <c r="J774" i="2"/>
  <c r="J773" i="2"/>
  <c r="J768" i="2"/>
  <c r="J767" i="2"/>
  <c r="D762" i="2"/>
  <c r="D763" i="2"/>
  <c r="D764" i="2"/>
  <c r="D761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F732" i="2"/>
  <c r="F731" i="2"/>
  <c r="F730" i="2"/>
  <c r="F729" i="2"/>
  <c r="F728" i="2"/>
  <c r="D732" i="2"/>
  <c r="D735" i="2" s="1"/>
  <c r="D731" i="2"/>
  <c r="D730" i="2"/>
  <c r="D729" i="2"/>
  <c r="D728" i="2"/>
  <c r="J724" i="2"/>
  <c r="J725" i="2"/>
  <c r="E723" i="2"/>
  <c r="D723" i="2"/>
  <c r="C723" i="2"/>
  <c r="B723" i="2"/>
  <c r="A723" i="2"/>
  <c r="J721" i="2"/>
  <c r="D720" i="2"/>
  <c r="C720" i="2"/>
  <c r="B720" i="2"/>
  <c r="A720" i="2"/>
  <c r="J717" i="2"/>
  <c r="J732" i="2" s="1"/>
  <c r="J716" i="2"/>
  <c r="F715" i="2"/>
  <c r="D715" i="2"/>
  <c r="C715" i="2"/>
  <c r="B715" i="2"/>
  <c r="A715" i="2"/>
  <c r="J713" i="2"/>
  <c r="J730" i="2" s="1"/>
  <c r="J712" i="2"/>
  <c r="J711" i="2"/>
  <c r="J728" i="2" s="1"/>
  <c r="E683" i="2"/>
  <c r="D683" i="2"/>
  <c r="C683" i="2"/>
  <c r="B683" i="2"/>
  <c r="A683" i="2"/>
  <c r="J679" i="2"/>
  <c r="J654" i="2"/>
  <c r="J657" i="2"/>
  <c r="J660" i="2"/>
  <c r="J676" i="2"/>
  <c r="J674" i="2"/>
  <c r="J675" i="2"/>
  <c r="J673" i="2"/>
  <c r="J672" i="2"/>
  <c r="J669" i="2"/>
  <c r="J666" i="2"/>
  <c r="J663" i="2"/>
  <c r="J656" i="2"/>
  <c r="J655" i="2"/>
  <c r="J653" i="2"/>
  <c r="J652" i="2"/>
  <c r="J651" i="2"/>
  <c r="J649" i="2"/>
  <c r="J648" i="2"/>
  <c r="F646" i="2"/>
  <c r="J646" i="2" s="1"/>
  <c r="J644" i="2"/>
  <c r="J643" i="2"/>
  <c r="J641" i="2"/>
  <c r="A635" i="2"/>
  <c r="A617" i="2"/>
  <c r="H615" i="2"/>
  <c r="H634" i="2" s="1"/>
  <c r="F615" i="2"/>
  <c r="F634" i="2" s="1"/>
  <c r="D615" i="2"/>
  <c r="D634" i="2" s="1"/>
  <c r="H614" i="2"/>
  <c r="H633" i="2" s="1"/>
  <c r="F614" i="2"/>
  <c r="F633" i="2" s="1"/>
  <c r="D614" i="2"/>
  <c r="D633" i="2" s="1"/>
  <c r="H603" i="2"/>
  <c r="H622" i="2" s="1"/>
  <c r="H604" i="2"/>
  <c r="H623" i="2" s="1"/>
  <c r="H605" i="2"/>
  <c r="H624" i="2" s="1"/>
  <c r="H606" i="2"/>
  <c r="H625" i="2" s="1"/>
  <c r="H607" i="2"/>
  <c r="H626" i="2" s="1"/>
  <c r="H608" i="2"/>
  <c r="H627" i="2" s="1"/>
  <c r="H609" i="2"/>
  <c r="H628" i="2" s="1"/>
  <c r="H610" i="2"/>
  <c r="H629" i="2" s="1"/>
  <c r="H611" i="2"/>
  <c r="H630" i="2" s="1"/>
  <c r="H612" i="2"/>
  <c r="H631" i="2" s="1"/>
  <c r="H613" i="2"/>
  <c r="H632" i="2" s="1"/>
  <c r="F603" i="2"/>
  <c r="F622" i="2" s="1"/>
  <c r="F604" i="2"/>
  <c r="F623" i="2" s="1"/>
  <c r="F605" i="2"/>
  <c r="F624" i="2" s="1"/>
  <c r="F606" i="2"/>
  <c r="F625" i="2" s="1"/>
  <c r="F607" i="2"/>
  <c r="F626" i="2" s="1"/>
  <c r="F608" i="2"/>
  <c r="F627" i="2" s="1"/>
  <c r="F609" i="2"/>
  <c r="F628" i="2" s="1"/>
  <c r="F610" i="2"/>
  <c r="F629" i="2" s="1"/>
  <c r="F611" i="2"/>
  <c r="F630" i="2" s="1"/>
  <c r="F612" i="2"/>
  <c r="F631" i="2" s="1"/>
  <c r="F613" i="2"/>
  <c r="F632" i="2" s="1"/>
  <c r="D611" i="2"/>
  <c r="D630" i="2" s="1"/>
  <c r="D612" i="2"/>
  <c r="D631" i="2" s="1"/>
  <c r="D613" i="2"/>
  <c r="D632" i="2" s="1"/>
  <c r="D606" i="2"/>
  <c r="D625" i="2" s="1"/>
  <c r="D607" i="2"/>
  <c r="D626" i="2" s="1"/>
  <c r="D608" i="2"/>
  <c r="D627" i="2" s="1"/>
  <c r="D609" i="2"/>
  <c r="D628" i="2" s="1"/>
  <c r="D610" i="2"/>
  <c r="D629" i="2" s="1"/>
  <c r="D605" i="2"/>
  <c r="D624" i="2" s="1"/>
  <c r="D604" i="2"/>
  <c r="D623" i="2" s="1"/>
  <c r="D603" i="2"/>
  <c r="D622" i="2" s="1"/>
  <c r="H602" i="2"/>
  <c r="H621" i="2" s="1"/>
  <c r="F602" i="2"/>
  <c r="F621" i="2" s="1"/>
  <c r="D602" i="2"/>
  <c r="D621" i="2" s="1"/>
  <c r="H601" i="2"/>
  <c r="H620" i="2" s="1"/>
  <c r="D601" i="2"/>
  <c r="D620" i="2" s="1"/>
  <c r="F601" i="2"/>
  <c r="F620" i="2" s="1"/>
  <c r="H600" i="2"/>
  <c r="H619" i="2" s="1"/>
  <c r="F600" i="2"/>
  <c r="F619" i="2" s="1"/>
  <c r="D600" i="2"/>
  <c r="D619" i="2" s="1"/>
  <c r="J595" i="2"/>
  <c r="J594" i="2"/>
  <c r="J593" i="2"/>
  <c r="J592" i="2"/>
  <c r="D591" i="2"/>
  <c r="C591" i="2"/>
  <c r="B591" i="2"/>
  <c r="A591" i="2"/>
  <c r="J583" i="2"/>
  <c r="J584" i="2"/>
  <c r="J585" i="2"/>
  <c r="J586" i="2"/>
  <c r="J587" i="2"/>
  <c r="J588" i="2"/>
  <c r="J589" i="2"/>
  <c r="J582" i="2"/>
  <c r="E581" i="2"/>
  <c r="D581" i="2"/>
  <c r="C581" i="2"/>
  <c r="B581" i="2"/>
  <c r="A581" i="2"/>
  <c r="J579" i="2"/>
  <c r="D578" i="2"/>
  <c r="C578" i="2"/>
  <c r="B578" i="2"/>
  <c r="A578" i="2"/>
  <c r="J576" i="2"/>
  <c r="E575" i="2"/>
  <c r="D575" i="2"/>
  <c r="C575" i="2"/>
  <c r="B575" i="2"/>
  <c r="A575" i="2"/>
  <c r="J572" i="2"/>
  <c r="J573" i="2"/>
  <c r="J570" i="2"/>
  <c r="J571" i="2"/>
  <c r="J569" i="2"/>
  <c r="D572" i="2"/>
  <c r="D573" i="2" s="1"/>
  <c r="E568" i="2"/>
  <c r="D568" i="2"/>
  <c r="C568" i="2"/>
  <c r="B568" i="2"/>
  <c r="A568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54" i="2"/>
  <c r="J550" i="2"/>
  <c r="J551" i="2"/>
  <c r="J549" i="2"/>
  <c r="D550" i="2"/>
  <c r="E548" i="2"/>
  <c r="D548" i="2"/>
  <c r="C548" i="2"/>
  <c r="B548" i="2"/>
  <c r="A548" i="2"/>
  <c r="F528" i="2"/>
  <c r="J526" i="2"/>
  <c r="J525" i="2"/>
  <c r="J524" i="2"/>
  <c r="J521" i="2"/>
  <c r="J520" i="2"/>
  <c r="J519" i="2"/>
  <c r="D521" i="2"/>
  <c r="D526" i="2" s="1"/>
  <c r="D520" i="2"/>
  <c r="D525" i="2" s="1"/>
  <c r="D549" i="2" s="1"/>
  <c r="D519" i="2"/>
  <c r="D524" i="2" s="1"/>
  <c r="J515" i="2"/>
  <c r="J516" i="2"/>
  <c r="J514" i="2"/>
  <c r="J511" i="2"/>
  <c r="J508" i="2"/>
  <c r="J505" i="2"/>
  <c r="E528" i="2"/>
  <c r="D528" i="2"/>
  <c r="C528" i="2"/>
  <c r="B528" i="2"/>
  <c r="A528" i="2"/>
  <c r="E523" i="2"/>
  <c r="D523" i="2"/>
  <c r="C523" i="2"/>
  <c r="B523" i="2"/>
  <c r="A523" i="2"/>
  <c r="E518" i="2"/>
  <c r="D518" i="2"/>
  <c r="C518" i="2"/>
  <c r="B518" i="2"/>
  <c r="A518" i="2"/>
  <c r="E513" i="2"/>
  <c r="D513" i="2"/>
  <c r="C513" i="2"/>
  <c r="B513" i="2"/>
  <c r="A513" i="2"/>
  <c r="E510" i="2"/>
  <c r="D510" i="2"/>
  <c r="C510" i="2"/>
  <c r="B510" i="2"/>
  <c r="A510" i="2"/>
  <c r="E507" i="2"/>
  <c r="D507" i="2"/>
  <c r="C507" i="2"/>
  <c r="B507" i="2"/>
  <c r="A507" i="2"/>
  <c r="E504" i="2"/>
  <c r="D504" i="2"/>
  <c r="C504" i="2"/>
  <c r="B504" i="2"/>
  <c r="A504" i="2"/>
  <c r="A490" i="2"/>
  <c r="A487" i="2"/>
  <c r="J500" i="2"/>
  <c r="J492" i="2"/>
  <c r="J491" i="2"/>
  <c r="J488" i="2"/>
  <c r="D487" i="2"/>
  <c r="C487" i="2"/>
  <c r="E490" i="2"/>
  <c r="D490" i="2"/>
  <c r="C490" i="2"/>
  <c r="B490" i="2"/>
  <c r="A494" i="2"/>
  <c r="B494" i="2"/>
  <c r="C494" i="2"/>
  <c r="D494" i="2"/>
  <c r="E494" i="2"/>
  <c r="J495" i="2"/>
  <c r="J478" i="2"/>
  <c r="J479" i="2" s="1"/>
  <c r="A477" i="2"/>
  <c r="B477" i="2"/>
  <c r="C477" i="2"/>
  <c r="D477" i="2"/>
  <c r="E477" i="2"/>
  <c r="J726" i="2" l="1"/>
  <c r="E354" i="1" s="1"/>
  <c r="J719" i="2"/>
  <c r="E352" i="1" s="1"/>
  <c r="J714" i="2"/>
  <c r="E351" i="1" s="1"/>
  <c r="J590" i="2"/>
  <c r="E335" i="1" s="1"/>
  <c r="J567" i="2"/>
  <c r="E331" i="1" s="1"/>
  <c r="J527" i="2"/>
  <c r="E320" i="1" s="1"/>
  <c r="J493" i="2"/>
  <c r="E309" i="1" s="1"/>
  <c r="E300" i="1"/>
  <c r="J300" i="1" s="1"/>
  <c r="F277" i="2" l="1"/>
  <c r="E277" i="2"/>
  <c r="B275" i="2"/>
  <c r="D275" i="2"/>
  <c r="C275" i="2"/>
  <c r="A275" i="2"/>
  <c r="F199" i="2"/>
  <c r="E199" i="2"/>
  <c r="D199" i="2"/>
  <c r="C199" i="2"/>
  <c r="B199" i="2"/>
  <c r="A199" i="2"/>
  <c r="F64" i="2"/>
  <c r="J64" i="2" s="1"/>
  <c r="D64" i="2"/>
  <c r="D63" i="2"/>
  <c r="D62" i="2"/>
  <c r="D61" i="2"/>
  <c r="J58" i="2"/>
  <c r="F57" i="2"/>
  <c r="J57" i="2" s="1"/>
  <c r="F56" i="2"/>
  <c r="J56" i="2" s="1"/>
  <c r="F55" i="2"/>
  <c r="J55" i="2" s="1"/>
  <c r="J52" i="2"/>
  <c r="H47" i="2"/>
  <c r="I46" i="2"/>
  <c r="H46" i="2"/>
  <c r="F46" i="2"/>
  <c r="F47" i="2"/>
  <c r="D47" i="2"/>
  <c r="E46" i="2"/>
  <c r="D46" i="2"/>
  <c r="C46" i="2"/>
  <c r="F44" i="2"/>
  <c r="J44" i="2" s="1"/>
  <c r="F43" i="2"/>
  <c r="J43" i="2" s="1"/>
  <c r="I41" i="2"/>
  <c r="H41" i="2"/>
  <c r="J38" i="2"/>
  <c r="J39" i="2"/>
  <c r="J37" i="2"/>
  <c r="J23" i="2"/>
  <c r="F42" i="2"/>
  <c r="J42" i="2" s="1"/>
  <c r="E41" i="2"/>
  <c r="D41" i="2"/>
  <c r="C41" i="2"/>
  <c r="B41" i="2"/>
  <c r="A41" i="2"/>
  <c r="D44" i="2"/>
  <c r="D43" i="2"/>
  <c r="D42" i="2"/>
  <c r="E36" i="2"/>
  <c r="D36" i="2"/>
  <c r="C36" i="2"/>
  <c r="B36" i="2"/>
  <c r="A36" i="2"/>
  <c r="J59" i="2" l="1"/>
  <c r="E34" i="1" s="1"/>
  <c r="F61" i="2"/>
  <c r="J61" i="2" s="1"/>
  <c r="F62" i="2"/>
  <c r="J62" i="2" s="1"/>
  <c r="F63" i="2"/>
  <c r="J63" i="2" s="1"/>
  <c r="J47" i="2"/>
  <c r="J48" i="2" s="1"/>
  <c r="J45" i="2"/>
  <c r="J65" i="2" l="1"/>
  <c r="E35" i="1" s="1"/>
  <c r="J34" i="2" l="1"/>
  <c r="E33" i="2"/>
  <c r="D33" i="2"/>
  <c r="C33" i="2"/>
  <c r="B33" i="2"/>
  <c r="A33" i="2"/>
  <c r="J24" i="2"/>
  <c r="J25" i="2"/>
  <c r="J26" i="2"/>
  <c r="J381" i="1"/>
  <c r="J39" i="1" l="1"/>
  <c r="J64" i="1"/>
  <c r="J66" i="1"/>
  <c r="J69" i="1"/>
  <c r="J74" i="1"/>
  <c r="J75" i="1"/>
  <c r="J76" i="1"/>
  <c r="J77" i="1"/>
  <c r="J78" i="1"/>
  <c r="J79" i="1"/>
  <c r="J80" i="1"/>
  <c r="J81" i="1"/>
  <c r="J83" i="1"/>
  <c r="J84" i="1"/>
  <c r="J89" i="1"/>
  <c r="J102" i="1"/>
  <c r="J108" i="1"/>
  <c r="J114" i="1"/>
  <c r="J115" i="1"/>
  <c r="J118" i="1"/>
  <c r="J119" i="1"/>
  <c r="J122" i="1"/>
  <c r="J125" i="1"/>
  <c r="J126" i="1"/>
  <c r="J128" i="1"/>
  <c r="J133" i="1"/>
  <c r="J134" i="1"/>
  <c r="J135" i="1"/>
  <c r="J136" i="1"/>
  <c r="J63" i="1"/>
  <c r="J285" i="1"/>
  <c r="J279" i="1"/>
  <c r="J280" i="1"/>
  <c r="J281" i="1"/>
  <c r="J282" i="1"/>
  <c r="J283" i="1"/>
  <c r="J284" i="1"/>
  <c r="J277" i="1"/>
  <c r="J278" i="1"/>
  <c r="J270" i="1"/>
  <c r="J267" i="1"/>
  <c r="J266" i="1"/>
  <c r="J264" i="1"/>
  <c r="J262" i="1"/>
  <c r="J256" i="1"/>
  <c r="J259" i="1"/>
  <c r="J248" i="1"/>
  <c r="J249" i="1"/>
  <c r="J251" i="1"/>
  <c r="J247" i="1"/>
  <c r="J238" i="1"/>
  <c r="J242" i="1"/>
  <c r="J244" i="1"/>
  <c r="J245" i="1"/>
  <c r="J233" i="1"/>
  <c r="J232" i="1"/>
  <c r="J227" i="1"/>
  <c r="J228" i="1"/>
  <c r="J230" i="1"/>
  <c r="J225" i="1"/>
  <c r="J221" i="1"/>
  <c r="J222" i="1"/>
  <c r="J223" i="1"/>
  <c r="J218" i="1"/>
  <c r="J215" i="1"/>
  <c r="J210" i="1"/>
  <c r="J212" i="1"/>
  <c r="J201" i="1"/>
  <c r="J203" i="1"/>
  <c r="J197" i="1"/>
  <c r="J194" i="1"/>
  <c r="J186" i="1"/>
  <c r="J187" i="1"/>
  <c r="J189" i="1"/>
  <c r="J174" i="1"/>
  <c r="J177" i="1"/>
  <c r="J179" i="1"/>
  <c r="J168" i="1"/>
  <c r="J170" i="1"/>
  <c r="J167" i="1"/>
  <c r="J161" i="1"/>
  <c r="J165" i="1"/>
  <c r="J160" i="1"/>
  <c r="J157" i="1"/>
  <c r="J158" i="1"/>
  <c r="J156" i="1"/>
  <c r="J149" i="1"/>
  <c r="J150" i="1"/>
  <c r="J152" i="1"/>
  <c r="J153" i="1"/>
  <c r="J154" i="1"/>
  <c r="J148" i="1"/>
  <c r="J143" i="1"/>
  <c r="J145" i="1"/>
  <c r="J146" i="1"/>
  <c r="J142" i="1"/>
  <c r="J289" i="1"/>
  <c r="J353" i="1"/>
  <c r="J361" i="1"/>
  <c r="J362" i="1"/>
  <c r="J360" i="1"/>
  <c r="J368" i="1"/>
  <c r="J380" i="1"/>
  <c r="E930" i="2"/>
  <c r="D930" i="2"/>
  <c r="C930" i="2"/>
  <c r="B930" i="2"/>
  <c r="A930" i="2"/>
  <c r="A927" i="2"/>
  <c r="E927" i="2"/>
  <c r="D927" i="2"/>
  <c r="C927" i="2"/>
  <c r="B927" i="2"/>
  <c r="J928" i="2"/>
  <c r="J932" i="2" l="1"/>
  <c r="E394" i="1" s="1"/>
  <c r="J394" i="1" s="1"/>
  <c r="J929" i="2"/>
  <c r="E393" i="1" s="1"/>
  <c r="J393" i="1" s="1"/>
  <c r="J388" i="1" l="1"/>
  <c r="J374" i="1"/>
  <c r="J320" i="1"/>
  <c r="J331" i="1"/>
  <c r="J335" i="1"/>
  <c r="J48" i="1"/>
  <c r="J354" i="1"/>
  <c r="J351" i="1"/>
  <c r="J49" i="1"/>
  <c r="J387" i="1"/>
  <c r="J385" i="1"/>
  <c r="J460" i="2"/>
  <c r="J459" i="2"/>
  <c r="E26" i="1"/>
  <c r="E56" i="1" l="1"/>
  <c r="J56" i="1" s="1"/>
  <c r="J55" i="1"/>
  <c r="E29" i="1"/>
  <c r="J29" i="1" s="1"/>
  <c r="J26" i="1"/>
  <c r="J429" i="2" l="1"/>
  <c r="J602" i="2" s="1"/>
  <c r="J621" i="2" s="1"/>
  <c r="J42" i="1"/>
  <c r="J35" i="1"/>
  <c r="J34" i="1"/>
  <c r="E211" i="1"/>
  <c r="F346" i="2" s="1"/>
  <c r="E207" i="1"/>
  <c r="F342" i="2" s="1"/>
  <c r="E185" i="1"/>
  <c r="F320" i="2" s="1"/>
  <c r="E183" i="1"/>
  <c r="F318" i="2" s="1"/>
  <c r="E193" i="1"/>
  <c r="F328" i="2" s="1"/>
  <c r="E202" i="1"/>
  <c r="F337" i="2" s="1"/>
  <c r="E200" i="1"/>
  <c r="F335" i="2" s="1"/>
  <c r="E196" i="1"/>
  <c r="F331" i="2" s="1"/>
  <c r="E204" i="1"/>
  <c r="F339" i="2" s="1"/>
  <c r="E205" i="1"/>
  <c r="F340" i="2" s="1"/>
  <c r="E188" i="1"/>
  <c r="F323" i="2" s="1"/>
  <c r="E173" i="1"/>
  <c r="F308" i="2" s="1"/>
  <c r="E162" i="1"/>
  <c r="F297" i="2" s="1"/>
  <c r="E169" i="1"/>
  <c r="F304" i="2" s="1"/>
  <c r="E269" i="1"/>
  <c r="F404" i="2" s="1"/>
  <c r="E274" i="1"/>
  <c r="F409" i="2" s="1"/>
  <c r="E253" i="1"/>
  <c r="F388" i="2" s="1"/>
  <c r="E250" i="1"/>
  <c r="F385" i="2" s="1"/>
  <c r="E229" i="1"/>
  <c r="F364" i="2" s="1"/>
  <c r="E276" i="1"/>
  <c r="F411" i="2" s="1"/>
  <c r="E257" i="1"/>
  <c r="F392" i="2" s="1"/>
  <c r="E252" i="1"/>
  <c r="F387" i="2" s="1"/>
  <c r="E164" i="1"/>
  <c r="F299" i="2" s="1"/>
  <c r="E163" i="1"/>
  <c r="F298" i="2" s="1"/>
  <c r="E243" i="1"/>
  <c r="F378" i="2" s="1"/>
  <c r="E192" i="1"/>
  <c r="F327" i="2" s="1"/>
  <c r="E175" i="1"/>
  <c r="F310" i="2" s="1"/>
  <c r="E271" i="1"/>
  <c r="F406" i="2" s="1"/>
  <c r="E275" i="1"/>
  <c r="F410" i="2" s="1"/>
  <c r="E261" i="1"/>
  <c r="F396" i="2" s="1"/>
  <c r="E258" i="1"/>
  <c r="F393" i="2" s="1"/>
  <c r="E226" i="1"/>
  <c r="F361" i="2" s="1"/>
  <c r="E171" i="1"/>
  <c r="F306" i="2" s="1"/>
  <c r="E151" i="1"/>
  <c r="F286" i="2" s="1"/>
  <c r="E176" i="1"/>
  <c r="F311" i="2" s="1"/>
  <c r="E213" i="1"/>
  <c r="F348" i="2" s="1"/>
  <c r="E209" i="1"/>
  <c r="F344" i="2" s="1"/>
  <c r="E208" i="1"/>
  <c r="F343" i="2" s="1"/>
  <c r="E184" i="1"/>
  <c r="F319" i="2" s="1"/>
  <c r="E255" i="1"/>
  <c r="F390" i="2" s="1"/>
  <c r="E273" i="1"/>
  <c r="F408" i="2" s="1"/>
  <c r="J309" i="1"/>
  <c r="E308" i="1"/>
  <c r="J308" i="1" s="1"/>
  <c r="J442" i="2"/>
  <c r="J615" i="2" s="1"/>
  <c r="J634" i="2" s="1"/>
  <c r="J43" i="1"/>
  <c r="E220" i="1"/>
  <c r="F355" i="2" s="1"/>
  <c r="E234" i="1"/>
  <c r="F369" i="2" s="1"/>
  <c r="E237" i="1"/>
  <c r="F372" i="2" s="1"/>
  <c r="E236" i="1"/>
  <c r="F371" i="2" s="1"/>
  <c r="E235" i="1"/>
  <c r="F370" i="2" s="1"/>
  <c r="E240" i="1"/>
  <c r="F375" i="2" s="1"/>
  <c r="E239" i="1"/>
  <c r="F374" i="2" s="1"/>
  <c r="E127" i="1"/>
  <c r="F263" i="2" s="1"/>
  <c r="E70" i="1"/>
  <c r="F206" i="2" s="1"/>
  <c r="E116" i="1"/>
  <c r="F252" i="2" s="1"/>
  <c r="E117" i="1"/>
  <c r="F253" i="2" s="1"/>
  <c r="E100" i="1"/>
  <c r="F236" i="2" s="1"/>
  <c r="E99" i="1"/>
  <c r="F235" i="2" s="1"/>
  <c r="E98" i="1"/>
  <c r="F234" i="2" s="1"/>
  <c r="E97" i="1"/>
  <c r="F233" i="2" s="1"/>
  <c r="E95" i="1"/>
  <c r="F231" i="2" s="1"/>
  <c r="E96" i="1"/>
  <c r="F232" i="2" s="1"/>
  <c r="E101" i="1"/>
  <c r="F237" i="2" s="1"/>
  <c r="E93" i="1"/>
  <c r="F229" i="2" s="1"/>
  <c r="E94" i="1"/>
  <c r="F230" i="2" s="1"/>
  <c r="E129" i="1"/>
  <c r="F265" i="2" s="1"/>
  <c r="E130" i="1"/>
  <c r="F266" i="2" s="1"/>
  <c r="E92" i="1"/>
  <c r="F228" i="2" s="1"/>
  <c r="E113" i="1"/>
  <c r="F249" i="2" s="1"/>
  <c r="E91" i="1"/>
  <c r="F227" i="2" s="1"/>
  <c r="E86" i="1"/>
  <c r="F222" i="2" s="1"/>
  <c r="E85" i="1"/>
  <c r="F221" i="2" s="1"/>
  <c r="E88" i="1"/>
  <c r="F224" i="2" s="1"/>
  <c r="E87" i="1"/>
  <c r="F223" i="2" s="1"/>
  <c r="E90" i="1"/>
  <c r="F226" i="2" s="1"/>
  <c r="E131" i="1"/>
  <c r="F267" i="2" s="1"/>
  <c r="E132" i="1"/>
  <c r="F268" i="2" s="1"/>
  <c r="E112" i="1"/>
  <c r="F248" i="2" s="1"/>
  <c r="E111" i="1"/>
  <c r="F247" i="2" s="1"/>
  <c r="E110" i="1"/>
  <c r="F246" i="2" s="1"/>
  <c r="E109" i="1"/>
  <c r="F245" i="2" s="1"/>
  <c r="E73" i="1"/>
  <c r="F209" i="2" s="1"/>
  <c r="E72" i="1"/>
  <c r="F208" i="2" s="1"/>
  <c r="E106" i="1"/>
  <c r="F242" i="2" s="1"/>
  <c r="E107" i="1"/>
  <c r="F243" i="2" s="1"/>
  <c r="E71" i="1"/>
  <c r="F207" i="2" s="1"/>
  <c r="E105" i="1"/>
  <c r="F241" i="2" s="1"/>
  <c r="E104" i="1"/>
  <c r="F240" i="2" s="1"/>
  <c r="E103" i="1"/>
  <c r="F239" i="2" s="1"/>
  <c r="E124" i="1"/>
  <c r="F260" i="2" s="1"/>
  <c r="E123" i="1"/>
  <c r="F259" i="2" s="1"/>
  <c r="E121" i="1"/>
  <c r="F257" i="2" s="1"/>
  <c r="E65" i="1"/>
  <c r="F201" i="2" s="1"/>
  <c r="E68" i="1"/>
  <c r="F204" i="2" s="1"/>
  <c r="E67" i="1"/>
  <c r="F203" i="2" s="1"/>
  <c r="E82" i="1"/>
  <c r="F218" i="2" s="1"/>
  <c r="J483" i="2"/>
  <c r="J475" i="2"/>
  <c r="J451" i="2"/>
  <c r="J450" i="2"/>
  <c r="J449" i="2"/>
  <c r="J448" i="2"/>
  <c r="J447" i="2"/>
  <c r="J446" i="2"/>
  <c r="J445" i="2"/>
  <c r="J441" i="2"/>
  <c r="J614" i="2" s="1"/>
  <c r="J633" i="2" s="1"/>
  <c r="J440" i="2"/>
  <c r="J613" i="2" s="1"/>
  <c r="J632" i="2" s="1"/>
  <c r="J439" i="2"/>
  <c r="J612" i="2" s="1"/>
  <c r="J631" i="2" s="1"/>
  <c r="J437" i="2"/>
  <c r="J610" i="2" s="1"/>
  <c r="J629" i="2" s="1"/>
  <c r="J438" i="2"/>
  <c r="J611" i="2" s="1"/>
  <c r="J630" i="2" s="1"/>
  <c r="J436" i="2"/>
  <c r="J609" i="2" s="1"/>
  <c r="J628" i="2" s="1"/>
  <c r="J435" i="2"/>
  <c r="J608" i="2" s="1"/>
  <c r="J627" i="2" s="1"/>
  <c r="J434" i="2"/>
  <c r="J607" i="2" s="1"/>
  <c r="J626" i="2" s="1"/>
  <c r="J433" i="2"/>
  <c r="J606" i="2" s="1"/>
  <c r="J625" i="2" s="1"/>
  <c r="J432" i="2"/>
  <c r="J605" i="2" s="1"/>
  <c r="J624" i="2" s="1"/>
  <c r="J431" i="2"/>
  <c r="J604" i="2" s="1"/>
  <c r="J623" i="2" s="1"/>
  <c r="J430" i="2"/>
  <c r="J603" i="2" s="1"/>
  <c r="J622" i="2" s="1"/>
  <c r="J428" i="2"/>
  <c r="J601" i="2" s="1"/>
  <c r="J620" i="2" s="1"/>
  <c r="J427" i="2"/>
  <c r="J600" i="2" s="1"/>
  <c r="J619" i="2" s="1"/>
  <c r="J731" i="2"/>
  <c r="J729" i="2"/>
  <c r="J235" i="1" l="1"/>
  <c r="J273" i="1"/>
  <c r="J275" i="1"/>
  <c r="J253" i="1"/>
  <c r="J193" i="1"/>
  <c r="J169" i="1"/>
  <c r="J207" i="1"/>
  <c r="J184" i="1"/>
  <c r="J220" i="1"/>
  <c r="J209" i="1"/>
  <c r="J243" i="1"/>
  <c r="J162" i="1"/>
  <c r="J211" i="1"/>
  <c r="J271" i="1"/>
  <c r="J192" i="1"/>
  <c r="J213" i="1"/>
  <c r="J163" i="1"/>
  <c r="J173" i="1"/>
  <c r="J236" i="1"/>
  <c r="J234" i="1"/>
  <c r="J176" i="1"/>
  <c r="J164" i="1"/>
  <c r="J188" i="1"/>
  <c r="J274" i="1"/>
  <c r="J175" i="1"/>
  <c r="J151" i="1"/>
  <c r="J252" i="1"/>
  <c r="J205" i="1"/>
  <c r="J255" i="1"/>
  <c r="J269" i="1"/>
  <c r="J171" i="1"/>
  <c r="J257" i="1"/>
  <c r="J204" i="1"/>
  <c r="J241" i="1"/>
  <c r="J226" i="1"/>
  <c r="J276" i="1"/>
  <c r="J196" i="1"/>
  <c r="J183" i="1"/>
  <c r="J237" i="1"/>
  <c r="J208" i="1"/>
  <c r="J239" i="1"/>
  <c r="J258" i="1"/>
  <c r="J229" i="1"/>
  <c r="J200" i="1"/>
  <c r="J185" i="1"/>
  <c r="J240" i="1"/>
  <c r="J261" i="1"/>
  <c r="J250" i="1"/>
  <c r="J202" i="1"/>
  <c r="J91" i="1"/>
  <c r="J67" i="1"/>
  <c r="J72" i="1"/>
  <c r="J86" i="1"/>
  <c r="J98" i="1"/>
  <c r="J92" i="1"/>
  <c r="J117" i="1"/>
  <c r="J65" i="1"/>
  <c r="J111" i="1"/>
  <c r="J130" i="1"/>
  <c r="J116" i="1"/>
  <c r="J113" i="1"/>
  <c r="J110" i="1"/>
  <c r="J124" i="1"/>
  <c r="J112" i="1"/>
  <c r="J129" i="1"/>
  <c r="J70" i="1"/>
  <c r="J68" i="1"/>
  <c r="J103" i="1"/>
  <c r="J132" i="1"/>
  <c r="J94" i="1"/>
  <c r="J127" i="1"/>
  <c r="J104" i="1"/>
  <c r="J131" i="1"/>
  <c r="J93" i="1"/>
  <c r="J73" i="1"/>
  <c r="J123" i="1"/>
  <c r="J105" i="1"/>
  <c r="J90" i="1"/>
  <c r="J101" i="1"/>
  <c r="J100" i="1"/>
  <c r="J71" i="1"/>
  <c r="J87" i="1"/>
  <c r="J96" i="1"/>
  <c r="J109" i="1"/>
  <c r="J121" i="1"/>
  <c r="J107" i="1"/>
  <c r="J88" i="1"/>
  <c r="J95" i="1"/>
  <c r="J99" i="1"/>
  <c r="J82" i="1"/>
  <c r="J106" i="1"/>
  <c r="J85" i="1"/>
  <c r="J97" i="1"/>
  <c r="E38" i="1"/>
  <c r="J38" i="1" s="1"/>
  <c r="J37" i="1"/>
  <c r="J352" i="1"/>
  <c r="J443" i="2"/>
  <c r="K137" i="1" l="1"/>
  <c r="F29" i="2"/>
  <c r="J29" i="2" s="1"/>
  <c r="D28" i="2"/>
  <c r="B28" i="2"/>
  <c r="J30" i="2" l="1"/>
  <c r="E22" i="1" s="1"/>
  <c r="J22" i="1" s="1"/>
  <c r="J499" i="2"/>
  <c r="J501" i="2" s="1"/>
  <c r="E311" i="1" s="1"/>
  <c r="K290" i="1" l="1"/>
  <c r="J193" i="2"/>
  <c r="E58" i="1" s="1"/>
  <c r="J58" i="1" s="1"/>
  <c r="B33" i="3"/>
  <c r="H13" i="3"/>
  <c r="I13" i="3"/>
  <c r="J13" i="3"/>
  <c r="K13" i="3"/>
  <c r="L13" i="3"/>
  <c r="M13" i="3"/>
  <c r="N13" i="3"/>
  <c r="G13" i="3"/>
  <c r="J196" i="2"/>
  <c r="E59" i="1" s="1"/>
  <c r="J59" i="1" s="1"/>
  <c r="E194" i="2"/>
  <c r="E17" i="2"/>
  <c r="B17" i="2"/>
  <c r="C17" i="2"/>
  <c r="D17" i="2"/>
  <c r="A17" i="2"/>
  <c r="J19" i="2"/>
  <c r="E17" i="1" s="1"/>
  <c r="J17" i="1" s="1"/>
  <c r="J777" i="2" l="1"/>
  <c r="E367" i="1" s="1"/>
  <c r="J367" i="1" s="1"/>
  <c r="A498" i="2"/>
  <c r="F18" i="4"/>
  <c r="F17" i="4"/>
  <c r="F16" i="4"/>
  <c r="F15" i="4"/>
  <c r="F14" i="4"/>
  <c r="F13" i="4"/>
  <c r="F19" i="4" l="1"/>
  <c r="G311" i="1" s="1"/>
  <c r="J311" i="1" s="1"/>
  <c r="J875" i="2" l="1"/>
  <c r="E375" i="1" s="1"/>
  <c r="J375" i="1" s="1"/>
  <c r="J895" i="2"/>
  <c r="J962" i="2"/>
  <c r="E961" i="2"/>
  <c r="J963" i="2"/>
  <c r="B961" i="2"/>
  <c r="C961" i="2"/>
  <c r="D961" i="2"/>
  <c r="D972" i="2" s="1"/>
  <c r="A961" i="2"/>
  <c r="J959" i="2"/>
  <c r="J958" i="2"/>
  <c r="J978" i="2"/>
  <c r="E405" i="1" s="1"/>
  <c r="J405" i="1" s="1"/>
  <c r="J964" i="2" l="1"/>
  <c r="J960" i="2"/>
  <c r="J955" i="2"/>
  <c r="J954" i="2"/>
  <c r="J939" i="2"/>
  <c r="J938" i="2"/>
  <c r="J935" i="2"/>
  <c r="J934" i="2"/>
  <c r="E937" i="2"/>
  <c r="E941" i="2"/>
  <c r="E953" i="2"/>
  <c r="E957" i="2"/>
  <c r="E970" i="2"/>
  <c r="E975" i="2"/>
  <c r="E933" i="2"/>
  <c r="B933" i="2"/>
  <c r="C933" i="2"/>
  <c r="D933" i="2"/>
  <c r="B937" i="2"/>
  <c r="C937" i="2"/>
  <c r="D937" i="2"/>
  <c r="B941" i="2"/>
  <c r="C941" i="2"/>
  <c r="D941" i="2"/>
  <c r="B953" i="2"/>
  <c r="C953" i="2"/>
  <c r="D953" i="2"/>
  <c r="B957" i="2"/>
  <c r="C957" i="2"/>
  <c r="D957" i="2"/>
  <c r="D971" i="2" s="1"/>
  <c r="B970" i="2"/>
  <c r="C970" i="2"/>
  <c r="D970" i="2"/>
  <c r="B975" i="2"/>
  <c r="C975" i="2"/>
  <c r="D975" i="2"/>
  <c r="A933" i="2"/>
  <c r="A937" i="2"/>
  <c r="A941" i="2"/>
  <c r="A953" i="2"/>
  <c r="A957" i="2"/>
  <c r="A970" i="2"/>
  <c r="A975" i="2"/>
  <c r="D926" i="2"/>
  <c r="C926" i="2"/>
  <c r="B926" i="2"/>
  <c r="A925" i="2"/>
  <c r="F971" i="2" l="1"/>
  <c r="J971" i="2" s="1"/>
  <c r="E401" i="1"/>
  <c r="J401" i="1" s="1"/>
  <c r="F972" i="2"/>
  <c r="J972" i="2" s="1"/>
  <c r="F985" i="2" s="1"/>
  <c r="J985" i="2" s="1"/>
  <c r="E402" i="1"/>
  <c r="J402" i="1" s="1"/>
  <c r="J936" i="2"/>
  <c r="E395" i="1" s="1"/>
  <c r="J956" i="2"/>
  <c r="E400" i="1" s="1"/>
  <c r="J400" i="1" s="1"/>
  <c r="J940" i="2"/>
  <c r="E396" i="1" s="1"/>
  <c r="J396" i="1" s="1"/>
  <c r="F984" i="2" l="1"/>
  <c r="J984" i="2" s="1"/>
  <c r="J986" i="2" s="1"/>
  <c r="E407" i="1" s="1"/>
  <c r="J407" i="1" s="1"/>
  <c r="J974" i="2"/>
  <c r="E404" i="1" s="1"/>
  <c r="J404" i="1" s="1"/>
  <c r="J395" i="1"/>
  <c r="J733" i="2"/>
  <c r="E355" i="1" s="1"/>
  <c r="J355" i="1" s="1"/>
  <c r="J496" i="2"/>
  <c r="J489" i="2"/>
  <c r="E498" i="2"/>
  <c r="D498" i="2"/>
  <c r="B498" i="2"/>
  <c r="K408" i="1" l="1"/>
  <c r="J497" i="2"/>
  <c r="E310" i="1" s="1"/>
  <c r="J310" i="1" s="1"/>
  <c r="O33" i="3" l="1"/>
  <c r="K312" i="1"/>
  <c r="E423" i="2" l="1"/>
  <c r="C423" i="2"/>
  <c r="D423" i="2"/>
  <c r="B423" i="2"/>
  <c r="A423" i="2"/>
  <c r="A10" i="2" l="1"/>
  <c r="C10" i="3"/>
  <c r="B30" i="3" l="1"/>
  <c r="B32" i="3"/>
  <c r="B31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J924" i="2" l="1"/>
  <c r="E389" i="1" s="1"/>
  <c r="J389" i="1" s="1"/>
  <c r="J910" i="2"/>
  <c r="E386" i="1" s="1"/>
  <c r="J386" i="1" s="1"/>
  <c r="J898" i="2"/>
  <c r="J899" i="2" s="1"/>
  <c r="E384" i="1" s="1"/>
  <c r="J384" i="1" s="1"/>
  <c r="J896" i="2"/>
  <c r="E383" i="1" s="1"/>
  <c r="J383" i="1" s="1"/>
  <c r="E888" i="2"/>
  <c r="E894" i="2"/>
  <c r="D888" i="2"/>
  <c r="D894" i="2"/>
  <c r="C888" i="2"/>
  <c r="C894" i="2"/>
  <c r="B888" i="2"/>
  <c r="B894" i="2"/>
  <c r="A888" i="2"/>
  <c r="A894" i="2"/>
  <c r="J747" i="2"/>
  <c r="E356" i="1" s="1"/>
  <c r="J356" i="1" s="1"/>
  <c r="J722" i="2"/>
  <c r="K357" i="1" l="1"/>
  <c r="E715" i="2" l="1"/>
  <c r="E720" i="2"/>
  <c r="E727" i="2"/>
  <c r="E734" i="2"/>
  <c r="E710" i="2"/>
  <c r="A727" i="2"/>
  <c r="B727" i="2"/>
  <c r="C727" i="2"/>
  <c r="D727" i="2"/>
  <c r="A734" i="2"/>
  <c r="B734" i="2"/>
  <c r="C734" i="2"/>
  <c r="D734" i="2"/>
  <c r="B710" i="2"/>
  <c r="C710" i="2"/>
  <c r="D710" i="2"/>
  <c r="A710" i="2"/>
  <c r="J865" i="2"/>
  <c r="J864" i="2"/>
  <c r="E863" i="2"/>
  <c r="J793" i="2"/>
  <c r="J799" i="2" s="1"/>
  <c r="E369" i="1" s="1"/>
  <c r="E855" i="2"/>
  <c r="J369" i="1" l="1"/>
  <c r="J866" i="2"/>
  <c r="E373" i="1" s="1"/>
  <c r="J373" i="1" s="1"/>
  <c r="J821" i="2" l="1"/>
  <c r="J827" i="2" s="1"/>
  <c r="J818" i="2"/>
  <c r="E778" i="2"/>
  <c r="E792" i="2"/>
  <c r="E800" i="2"/>
  <c r="E829" i="2"/>
  <c r="E867" i="2"/>
  <c r="E873" i="2"/>
  <c r="E772" i="2"/>
  <c r="C772" i="2"/>
  <c r="J616" i="2" l="1"/>
  <c r="J635" i="2" s="1"/>
  <c r="J636" i="2" s="1"/>
  <c r="F638" i="2" s="1"/>
  <c r="J820" i="2"/>
  <c r="J828" i="2" s="1"/>
  <c r="J762" i="2"/>
  <c r="J763" i="2"/>
  <c r="J764" i="2"/>
  <c r="J761" i="2"/>
  <c r="J756" i="2"/>
  <c r="J757" i="2"/>
  <c r="J758" i="2"/>
  <c r="J755" i="2"/>
  <c r="J752" i="2"/>
  <c r="J751" i="2"/>
  <c r="E754" i="2"/>
  <c r="E760" i="2"/>
  <c r="E766" i="2"/>
  <c r="E750" i="2"/>
  <c r="A754" i="2"/>
  <c r="B754" i="2"/>
  <c r="C754" i="2"/>
  <c r="D754" i="2"/>
  <c r="A760" i="2"/>
  <c r="B760" i="2"/>
  <c r="C760" i="2"/>
  <c r="D760" i="2"/>
  <c r="A766" i="2"/>
  <c r="B766" i="2"/>
  <c r="C766" i="2"/>
  <c r="D766" i="2"/>
  <c r="B750" i="2"/>
  <c r="C750" i="2"/>
  <c r="D750" i="2"/>
  <c r="A750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684" i="2"/>
  <c r="E370" i="1" l="1"/>
  <c r="J370" i="1" s="1"/>
  <c r="F830" i="2"/>
  <c r="J830" i="2" s="1"/>
  <c r="J854" i="2" s="1"/>
  <c r="E371" i="1" s="1"/>
  <c r="J371" i="1" s="1"/>
  <c r="J707" i="2"/>
  <c r="E347" i="1" s="1"/>
  <c r="J347" i="1" s="1"/>
  <c r="E340" i="1"/>
  <c r="J617" i="2"/>
  <c r="J769" i="2"/>
  <c r="E363" i="1" s="1"/>
  <c r="J363" i="1" s="1"/>
  <c r="J759" i="2"/>
  <c r="J765" i="2"/>
  <c r="J753" i="2"/>
  <c r="K364" i="1" l="1"/>
  <c r="O30" i="3" s="1"/>
  <c r="K348" i="1"/>
  <c r="J889" i="2" l="1"/>
  <c r="J552" i="2"/>
  <c r="E330" i="1" s="1"/>
  <c r="J330" i="1" s="1"/>
  <c r="E591" i="2"/>
  <c r="E578" i="2"/>
  <c r="E553" i="2"/>
  <c r="B553" i="2"/>
  <c r="C553" i="2"/>
  <c r="D553" i="2"/>
  <c r="A553" i="2"/>
  <c r="E543" i="2"/>
  <c r="B543" i="2"/>
  <c r="C543" i="2"/>
  <c r="D543" i="2"/>
  <c r="A543" i="2"/>
  <c r="E533" i="2"/>
  <c r="B533" i="2"/>
  <c r="C533" i="2"/>
  <c r="D533" i="2"/>
  <c r="A533" i="2"/>
  <c r="J544" i="2"/>
  <c r="J541" i="2"/>
  <c r="J540" i="2"/>
  <c r="J539" i="2"/>
  <c r="J538" i="2"/>
  <c r="J537" i="2"/>
  <c r="J536" i="2"/>
  <c r="J535" i="2"/>
  <c r="J534" i="2"/>
  <c r="J577" i="2" l="1"/>
  <c r="E333" i="1" s="1"/>
  <c r="J333" i="1" s="1"/>
  <c r="J859" i="2"/>
  <c r="J545" i="2"/>
  <c r="E326" i="1" s="1"/>
  <c r="J326" i="1" s="1"/>
  <c r="J574" i="2"/>
  <c r="E332" i="1" s="1"/>
  <c r="J332" i="1" s="1"/>
  <c r="J857" i="2"/>
  <c r="J580" i="2"/>
  <c r="E334" i="1" s="1"/>
  <c r="J334" i="1" s="1"/>
  <c r="J596" i="2"/>
  <c r="E336" i="1" s="1"/>
  <c r="J336" i="1" s="1"/>
  <c r="J542" i="2"/>
  <c r="E325" i="1" s="1"/>
  <c r="J325" i="1" s="1"/>
  <c r="K327" i="1" l="1"/>
  <c r="J860" i="2"/>
  <c r="J858" i="2"/>
  <c r="J861" i="2"/>
  <c r="K337" i="1" l="1"/>
  <c r="J862" i="2"/>
  <c r="E372" i="1" s="1"/>
  <c r="J372" i="1" s="1"/>
  <c r="K377" i="1" s="1"/>
  <c r="J678" i="2"/>
  <c r="J671" i="2"/>
  <c r="J670" i="2"/>
  <c r="J668" i="2"/>
  <c r="J665" i="2"/>
  <c r="J661" i="2"/>
  <c r="J662" i="2"/>
  <c r="J659" i="2"/>
  <c r="J658" i="2"/>
  <c r="J677" i="2"/>
  <c r="J667" i="2"/>
  <c r="J664" i="2"/>
  <c r="J650" i="2"/>
  <c r="J647" i="2"/>
  <c r="J645" i="2"/>
  <c r="J642" i="2"/>
  <c r="J680" i="2" l="1"/>
  <c r="E618" i="2"/>
  <c r="E637" i="2"/>
  <c r="E640" i="2"/>
  <c r="E599" i="2"/>
  <c r="A618" i="2"/>
  <c r="B618" i="2"/>
  <c r="C618" i="2"/>
  <c r="D618" i="2"/>
  <c r="A637" i="2"/>
  <c r="B637" i="2"/>
  <c r="C637" i="2"/>
  <c r="D637" i="2"/>
  <c r="A640" i="2"/>
  <c r="B640" i="2"/>
  <c r="C640" i="2"/>
  <c r="D640" i="2"/>
  <c r="B599" i="2"/>
  <c r="C599" i="2"/>
  <c r="D599" i="2"/>
  <c r="A599" i="2"/>
  <c r="H638" i="2" l="1"/>
  <c r="J638" i="2" s="1"/>
  <c r="E343" i="1"/>
  <c r="J343" i="1" s="1"/>
  <c r="E164" i="2"/>
  <c r="B164" i="2"/>
  <c r="C164" i="2"/>
  <c r="D164" i="2"/>
  <c r="A164" i="2"/>
  <c r="J166" i="2"/>
  <c r="J173" i="2" s="1"/>
  <c r="E54" i="1" s="1"/>
  <c r="J54" i="1" s="1"/>
  <c r="J529" i="2"/>
  <c r="J530" i="2" s="1"/>
  <c r="E321" i="1" s="1"/>
  <c r="J321" i="1" s="1"/>
  <c r="J512" i="2"/>
  <c r="E317" i="1" s="1"/>
  <c r="J317" i="1" s="1"/>
  <c r="J509" i="2"/>
  <c r="E316" i="1" s="1"/>
  <c r="J316" i="1" s="1"/>
  <c r="E487" i="2"/>
  <c r="B487" i="2"/>
  <c r="J522" i="2" l="1"/>
  <c r="E319" i="1" s="1"/>
  <c r="J319" i="1" s="1"/>
  <c r="J517" i="2"/>
  <c r="E318" i="1" s="1"/>
  <c r="J318" i="1" s="1"/>
  <c r="E482" i="2"/>
  <c r="B482" i="2"/>
  <c r="C482" i="2"/>
  <c r="D482" i="2"/>
  <c r="A482" i="2"/>
  <c r="J464" i="2"/>
  <c r="J465" i="2"/>
  <c r="J466" i="2"/>
  <c r="J467" i="2"/>
  <c r="J468" i="2"/>
  <c r="J469" i="2"/>
  <c r="J470" i="2"/>
  <c r="J471" i="2"/>
  <c r="J472" i="2"/>
  <c r="J473" i="2"/>
  <c r="J474" i="2"/>
  <c r="J463" i="2"/>
  <c r="J160" i="2"/>
  <c r="J163" i="2" s="1"/>
  <c r="E53" i="1" s="1"/>
  <c r="J53" i="1" s="1"/>
  <c r="J155" i="2"/>
  <c r="J151" i="2"/>
  <c r="J144" i="2"/>
  <c r="J149" i="2" s="1"/>
  <c r="E51" i="1" s="1"/>
  <c r="J51" i="1" s="1"/>
  <c r="J189" i="2"/>
  <c r="J188" i="2"/>
  <c r="J140" i="2"/>
  <c r="E143" i="2"/>
  <c r="B143" i="2"/>
  <c r="C143" i="2"/>
  <c r="D143" i="2"/>
  <c r="A143" i="2"/>
  <c r="E458" i="2"/>
  <c r="E462" i="2"/>
  <c r="A458" i="2"/>
  <c r="B458" i="2"/>
  <c r="C458" i="2"/>
  <c r="D458" i="2"/>
  <c r="A462" i="2"/>
  <c r="B462" i="2"/>
  <c r="C462" i="2"/>
  <c r="D462" i="2"/>
  <c r="E129" i="2"/>
  <c r="E139" i="2"/>
  <c r="E150" i="2"/>
  <c r="E159" i="2"/>
  <c r="E184" i="2"/>
  <c r="E191" i="2"/>
  <c r="E117" i="2"/>
  <c r="D129" i="2"/>
  <c r="D139" i="2"/>
  <c r="D150" i="2"/>
  <c r="D159" i="2"/>
  <c r="C129" i="2"/>
  <c r="C139" i="2"/>
  <c r="C150" i="2"/>
  <c r="C159" i="2"/>
  <c r="B129" i="2"/>
  <c r="B139" i="2"/>
  <c r="B150" i="2"/>
  <c r="B159" i="2"/>
  <c r="A129" i="2"/>
  <c r="A139" i="2"/>
  <c r="A150" i="2"/>
  <c r="A159" i="2"/>
  <c r="B117" i="2"/>
  <c r="C117" i="2"/>
  <c r="D117" i="2"/>
  <c r="A117" i="2"/>
  <c r="J142" i="2" l="1"/>
  <c r="E50" i="1" s="1"/>
  <c r="J50" i="1" s="1"/>
  <c r="J158" i="2"/>
  <c r="E52" i="1" s="1"/>
  <c r="J52" i="1" s="1"/>
  <c r="J476" i="2"/>
  <c r="E299" i="1" s="1"/>
  <c r="J299" i="1" s="1"/>
  <c r="J186" i="2"/>
  <c r="J190" i="2"/>
  <c r="E57" i="1" s="1"/>
  <c r="J57" i="1" s="1"/>
  <c r="J461" i="2"/>
  <c r="E298" i="1" s="1"/>
  <c r="J298" i="1" s="1"/>
  <c r="J36" i="1"/>
  <c r="E66" i="2"/>
  <c r="B66" i="2"/>
  <c r="C66" i="2"/>
  <c r="D66" i="2"/>
  <c r="A66" i="2"/>
  <c r="E44" i="1"/>
  <c r="J44" i="1" s="1"/>
  <c r="J97" i="2"/>
  <c r="J101" i="2" s="1"/>
  <c r="E41" i="1" s="1"/>
  <c r="J41" i="1" s="1"/>
  <c r="J95" i="2"/>
  <c r="E40" i="1" s="1"/>
  <c r="J40" i="1" s="1"/>
  <c r="E108" i="2"/>
  <c r="E96" i="2"/>
  <c r="B96" i="2"/>
  <c r="C96" i="2"/>
  <c r="D96" i="2"/>
  <c r="A96" i="2"/>
  <c r="K301" i="1" l="1"/>
  <c r="K60" i="1"/>
  <c r="J455" i="2"/>
  <c r="E294" i="1" s="1"/>
  <c r="J294" i="1" s="1"/>
  <c r="E444" i="2" l="1"/>
  <c r="E426" i="2"/>
  <c r="A444" i="2"/>
  <c r="B444" i="2"/>
  <c r="C444" i="2"/>
  <c r="D444" i="2"/>
  <c r="B426" i="2"/>
  <c r="C426" i="2"/>
  <c r="D426" i="2"/>
  <c r="A426" i="2"/>
  <c r="D422" i="2"/>
  <c r="B422" i="2"/>
  <c r="C422" i="2"/>
  <c r="A422" i="2"/>
  <c r="A421" i="2"/>
  <c r="O19" i="3" l="1"/>
  <c r="E293" i="1" l="1"/>
  <c r="J293" i="1" s="1"/>
  <c r="K295" i="1" l="1"/>
  <c r="J639" i="2"/>
  <c r="E342" i="1" s="1"/>
  <c r="E341" i="1" l="1"/>
  <c r="J341" i="1" s="1"/>
  <c r="J340" i="1"/>
  <c r="K286" i="1"/>
  <c r="J53" i="2"/>
  <c r="E33" i="1" s="1"/>
  <c r="J33" i="1" s="1"/>
  <c r="K45" i="1" s="1"/>
  <c r="E54" i="2"/>
  <c r="E60" i="2"/>
  <c r="E73" i="2"/>
  <c r="E80" i="2"/>
  <c r="E90" i="2"/>
  <c r="D54" i="2"/>
  <c r="D60" i="2"/>
  <c r="D73" i="2"/>
  <c r="D80" i="2"/>
  <c r="D90" i="2"/>
  <c r="C54" i="2"/>
  <c r="C60" i="2"/>
  <c r="C73" i="2"/>
  <c r="C80" i="2"/>
  <c r="C90" i="2"/>
  <c r="B54" i="2"/>
  <c r="B60" i="2"/>
  <c r="B73" i="2"/>
  <c r="B80" i="2"/>
  <c r="B90" i="2"/>
  <c r="A54" i="2"/>
  <c r="A60" i="2"/>
  <c r="A73" i="2"/>
  <c r="A80" i="2"/>
  <c r="A90" i="2"/>
  <c r="E51" i="2"/>
  <c r="B51" i="2"/>
  <c r="C51" i="2"/>
  <c r="D51" i="2"/>
  <c r="A51" i="2"/>
  <c r="J40" i="2"/>
  <c r="E27" i="1" s="1"/>
  <c r="J35" i="2"/>
  <c r="J342" i="1" l="1"/>
  <c r="K344" i="1" s="1"/>
  <c r="E28" i="1"/>
  <c r="J28" i="1" s="1"/>
  <c r="J27" i="1"/>
  <c r="O15" i="3"/>
  <c r="B46" i="2"/>
  <c r="A46" i="2"/>
  <c r="E22" i="2"/>
  <c r="B22" i="2"/>
  <c r="D22" i="2"/>
  <c r="A22" i="2"/>
  <c r="J893" i="2"/>
  <c r="J16" i="2"/>
  <c r="E16" i="1" s="1"/>
  <c r="J16" i="1" s="1"/>
  <c r="E14" i="2"/>
  <c r="B14" i="2"/>
  <c r="C14" i="2"/>
  <c r="D14" i="2"/>
  <c r="A14" i="2"/>
  <c r="O29" i="3"/>
  <c r="O26" i="3"/>
  <c r="O25" i="3"/>
  <c r="O23" i="3"/>
  <c r="O21" i="3"/>
  <c r="O20" i="3"/>
  <c r="O17" i="3"/>
  <c r="O16" i="3"/>
  <c r="E382" i="1" l="1"/>
  <c r="J382" i="1" s="1"/>
  <c r="K390" i="1" s="1"/>
  <c r="K30" i="1"/>
  <c r="O27" i="3"/>
  <c r="O28" i="3"/>
  <c r="O18" i="3"/>
  <c r="O31" i="3"/>
  <c r="O32" i="3" l="1"/>
  <c r="K18" i="1"/>
  <c r="J27" i="2"/>
  <c r="E21" i="1" s="1"/>
  <c r="J21" i="1" l="1"/>
  <c r="K23" i="1" s="1"/>
  <c r="O13" i="3" s="1"/>
  <c r="O12" i="3"/>
  <c r="O14" i="3" l="1"/>
  <c r="J506" i="2"/>
  <c r="E315" i="1" s="1"/>
  <c r="J315" i="1" s="1"/>
  <c r="K322" i="1" s="1"/>
  <c r="J484" i="2" l="1"/>
  <c r="E304" i="1" s="1"/>
  <c r="O24" i="3"/>
  <c r="J304" i="1" l="1"/>
  <c r="K305" i="1" s="1"/>
  <c r="J419" i="1" s="1"/>
  <c r="O22" i="3" l="1"/>
  <c r="G39" i="3" l="1"/>
  <c r="I39" i="3"/>
  <c r="C39" i="3"/>
  <c r="C40" i="3"/>
  <c r="D40" i="3" s="1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O37" i="3"/>
  <c r="P20" i="3" s="1"/>
  <c r="H39" i="3"/>
  <c r="E39" i="3"/>
  <c r="N39" i="3"/>
  <c r="F39" i="3"/>
  <c r="K39" i="3"/>
  <c r="L39" i="3"/>
  <c r="D39" i="3"/>
  <c r="M39" i="3"/>
  <c r="J39" i="3"/>
  <c r="P36" i="3" l="1"/>
  <c r="P34" i="3"/>
  <c r="P35" i="3"/>
  <c r="N37" i="3"/>
  <c r="K37" i="3"/>
  <c r="P16" i="3"/>
  <c r="P29" i="3"/>
  <c r="F37" i="3"/>
  <c r="P30" i="3"/>
  <c r="P18" i="3"/>
  <c r="P28" i="3"/>
  <c r="P22" i="3"/>
  <c r="P13" i="3"/>
  <c r="C37" i="3"/>
  <c r="C38" i="3" s="1"/>
  <c r="P14" i="3"/>
  <c r="P32" i="3"/>
  <c r="P15" i="3"/>
  <c r="P27" i="3"/>
  <c r="G37" i="3"/>
  <c r="P12" i="3"/>
  <c r="P21" i="3"/>
  <c r="P24" i="3"/>
  <c r="P25" i="3"/>
  <c r="P31" i="3"/>
  <c r="L37" i="3"/>
  <c r="P33" i="3"/>
  <c r="P26" i="3"/>
  <c r="E37" i="3"/>
  <c r="M37" i="3"/>
  <c r="P19" i="3"/>
  <c r="P17" i="3"/>
  <c r="P23" i="3"/>
  <c r="I37" i="3"/>
  <c r="D37" i="3"/>
  <c r="J37" i="3"/>
  <c r="H37" i="3"/>
  <c r="P37" i="3" l="1"/>
  <c r="D38" i="3"/>
  <c r="E38" i="3" s="1"/>
  <c r="F38" i="3" s="1"/>
  <c r="G38" i="3" s="1"/>
  <c r="H38" i="3" s="1"/>
  <c r="I38" i="3" s="1"/>
  <c r="J38" i="3" s="1"/>
  <c r="K38" i="3" s="1"/>
  <c r="L38" i="3" s="1"/>
  <c r="M38" i="3" s="1"/>
  <c r="N38" i="3" s="1"/>
</calcChain>
</file>

<file path=xl/sharedStrings.xml><?xml version="1.0" encoding="utf-8"?>
<sst xmlns="http://schemas.openxmlformats.org/spreadsheetml/2006/main" count="2673" uniqueCount="1313">
  <si>
    <t>PREFEITURA MUNICIPAL DE CATALÃO</t>
  </si>
  <si>
    <t>ITEM</t>
  </si>
  <si>
    <t xml:space="preserve">CODIGO 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</si>
  <si>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</si>
  <si>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</si>
  <si>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</si>
  <si>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</si>
  <si>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</si>
  <si>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</si>
  <si>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 xml:space="preserve">TOTAL COM BDI </t>
  </si>
  <si>
    <t xml:space="preserve">GRUPO DE SERVIÇO: 164- SERVIÇOS PRELIMINARES </t>
  </si>
  <si>
    <t>GOINFRA</t>
  </si>
  <si>
    <t>SERVIÇOS PRELIMINARES</t>
  </si>
  <si>
    <t>1.1</t>
  </si>
  <si>
    <t xml:space="preserve"> m2 </t>
  </si>
  <si>
    <t xml:space="preserve">m2 </t>
  </si>
  <si>
    <t>1.4</t>
  </si>
  <si>
    <t xml:space="preserve">GRUPO DE SERVIÇO: 165- TRANSPORTES </t>
  </si>
  <si>
    <t>TRANSPORTES</t>
  </si>
  <si>
    <t>2.1</t>
  </si>
  <si>
    <t>GRUPO DE SERVIÇO: 166- SERVIÇOS EM TERRA</t>
  </si>
  <si>
    <t>SERVICO EM TERRA</t>
  </si>
  <si>
    <t xml:space="preserve">GRUPO DE SERVIÇO: 167- FUNDAÇOES E SONDAGENS </t>
  </si>
  <si>
    <t xml:space="preserve">GOINFRA </t>
  </si>
  <si>
    <t>FUNDACOES E SONDAGENS</t>
  </si>
  <si>
    <t xml:space="preserve">GRUPO DE SERVIÇO: 168- ESTRUTURA </t>
  </si>
  <si>
    <t>ESTRUTURA</t>
  </si>
  <si>
    <t>GRUPO DE SERVIÇO: 169- INST. ELÉT./TELEFÔNICA/CABEAMENTO ESTRUTURADO</t>
  </si>
  <si>
    <t>INST. ELET./TELEFONICA/CABEAMENTO ESTRUTURADO</t>
  </si>
  <si>
    <t xml:space="preserve">m </t>
  </si>
  <si>
    <t>GRUPO DE SERVIÇO: 170- INSTALAÇÕES HIDRO-SANITÁRIAS</t>
  </si>
  <si>
    <t>INSTALAÇÕES HIDROSSANITÁRIAS</t>
  </si>
  <si>
    <t>GRUPO DE SERVIÇO: 172- ALVENARIAS E DIVISÓRIAS</t>
  </si>
  <si>
    <t>ALVENARIAS E DIVISORIAS</t>
  </si>
  <si>
    <t xml:space="preserve">GRUPO DE SERVIÇO: 174- IMPERMEABILIZAÇÃO </t>
  </si>
  <si>
    <t>IMPERMEABILIZACAO</t>
  </si>
  <si>
    <t>GRUPO DE SERVIÇO: 176- ESTRUTURA DE MADEIRA</t>
  </si>
  <si>
    <t>ESTRUTURA DE MADEIRA</t>
  </si>
  <si>
    <t>GRUPO DE SERVIÇO: 177 - ESTRUTURAS METÁLICAS</t>
  </si>
  <si>
    <t>ESTRUTURAS METALICAS</t>
  </si>
  <si>
    <t>GRUPO DE SERVIÇO: 178- COBERTURAS</t>
  </si>
  <si>
    <t>COBERTURAS</t>
  </si>
  <si>
    <t xml:space="preserve">GRUPO DE SERVIÇO: 179- ESQUADRIAS DE MADEIRA </t>
  </si>
  <si>
    <t xml:space="preserve">ESQUADRIAS DE MADEIRA </t>
  </si>
  <si>
    <t xml:space="preserve">GRUPO DE SERVIÇO: 180- ESQUADRIAS DE METALICAS </t>
  </si>
  <si>
    <t>ESQUADRIAS METÁLICAS</t>
  </si>
  <si>
    <t xml:space="preserve">GRUPO DE SERVIÇO: 182- REVESTIMENTO DE PAREDE </t>
  </si>
  <si>
    <t>REVESTIMENTO DE PAREDES</t>
  </si>
  <si>
    <t>GRUPO DE SERVIÇO: 183- FORROS</t>
  </si>
  <si>
    <t>FORROS</t>
  </si>
  <si>
    <t xml:space="preserve">GRUPO DE SERVIÇO: 184- REVESTIMENTO DE PISO </t>
  </si>
  <si>
    <t>REVESTIMENTO DE PISO</t>
  </si>
  <si>
    <t xml:space="preserve">GRUPO DE SERVIÇO: 185- FERRAGENS </t>
  </si>
  <si>
    <t>FERRAGENS</t>
  </si>
  <si>
    <t>GRUPO DE SERVIÇO: 188- PINTURA</t>
  </si>
  <si>
    <t>PINTURA</t>
  </si>
  <si>
    <t xml:space="preserve">GRUPO DE SERVIÇO: 189- DIVERSOS </t>
  </si>
  <si>
    <t>DIVERSOS</t>
  </si>
  <si>
    <t>TOTAL</t>
  </si>
  <si>
    <t>TOTAL COM BDI</t>
  </si>
  <si>
    <t>MEMÓRIA DE CÁLCULO</t>
  </si>
  <si>
    <t>SINAPI</t>
  </si>
  <si>
    <t>LOCACAO DE CONTAINER 2,30 X 6,00 M, ALT. 2,50 M, PARA ESCRITORIO, SEM DIVISORIAS INTERNAS E SEM SANITARIO</t>
  </si>
  <si>
    <t>LOCACAO DE CONTAINER 2,30 X 4,30 M, ALT. 2,50 M, P/ SANITARIO, C/ 5 BACIAS, 1 LAVATORIO E 4 MICTORIOS</t>
  </si>
  <si>
    <t xml:space="preserve"> m </t>
  </si>
  <si>
    <t>Total</t>
  </si>
  <si>
    <t>Área</t>
  </si>
  <si>
    <t>Quantidade</t>
  </si>
  <si>
    <t xml:space="preserve">Área do terreno </t>
  </si>
  <si>
    <t>Galpão</t>
  </si>
  <si>
    <t xml:space="preserve">Altura </t>
  </si>
  <si>
    <t>Comprimento</t>
  </si>
  <si>
    <t xml:space="preserve">m3 </t>
  </si>
  <si>
    <t xml:space="preserve">Área </t>
  </si>
  <si>
    <t>Porcentagem</t>
  </si>
  <si>
    <t xml:space="preserve">REATERRO COM APILOAMENTO </t>
  </si>
  <si>
    <t>3.4</t>
  </si>
  <si>
    <t xml:space="preserve">Comprimento </t>
  </si>
  <si>
    <t>Largura</t>
  </si>
  <si>
    <t>Altura</t>
  </si>
  <si>
    <t xml:space="preserve">ESTACA A TRADO DIAM.30 CM SEM FERRO </t>
  </si>
  <si>
    <t xml:space="preserve">ESCAVACAO MANUAL DE VALAS (SAPATAS/BLOCOS) </t>
  </si>
  <si>
    <t>APILOAMENTO (BLOCOS/SAPATAS)</t>
  </si>
  <si>
    <t>m3</t>
  </si>
  <si>
    <t xml:space="preserve">Kg </t>
  </si>
  <si>
    <t>ACO CA-50A - 10,0 MM (3/8") - (OBRAS CIVIS)</t>
  </si>
  <si>
    <t xml:space="preserve"> Kg </t>
  </si>
  <si>
    <t>4.1</t>
  </si>
  <si>
    <t>4.2</t>
  </si>
  <si>
    <t>4.3</t>
  </si>
  <si>
    <t>4.4</t>
  </si>
  <si>
    <t>4.5</t>
  </si>
  <si>
    <t>4.6</t>
  </si>
  <si>
    <t>4.7</t>
  </si>
  <si>
    <t>CABO ISOLADO PVC 750 V, No. 16 MM2</t>
  </si>
  <si>
    <t>CABO ISOLADO PVC 750 V, No. 25 MM2</t>
  </si>
  <si>
    <t xml:space="preserve">CABO ISOLADO PVC 750 V, No. 35 MM2 </t>
  </si>
  <si>
    <t xml:space="preserve">CAIXA METALICA OCTOGONAL FUNDO MOVEL, SIMPLES 2" </t>
  </si>
  <si>
    <t xml:space="preserve">CAIXA METALICA RET. 4" X 2" X 2" </t>
  </si>
  <si>
    <t xml:space="preserve">CAIXA METÁLICA PARA MEDIDOR POLIFÁSICO PADRÃO ENEL 500X380X166MM </t>
  </si>
  <si>
    <t xml:space="preserve">DISJUNTOR MONOPOLAR DE 10 A 32-A </t>
  </si>
  <si>
    <t xml:space="preserve">DISJUNTOR TRIPOLAR DE 10 A 35-A </t>
  </si>
  <si>
    <t xml:space="preserve">DISJUNTOR TRIPOLAR 40 A 50A </t>
  </si>
  <si>
    <t xml:space="preserve">DISJUNTOR TRIPOLAR DE 125-A </t>
  </si>
  <si>
    <t xml:space="preserve">ELETRODUTO PVC FLEXÍVEL - MANGUEIRA CORRUGADA LEVE - DIAM. 20MM </t>
  </si>
  <si>
    <t xml:space="preserve">ELETRODUTO PVC FLEXÍVEL - MANGUEIRA CORRUGADA LEVE - DIAM. 25MM </t>
  </si>
  <si>
    <t>ELETRODUTO DE PVC RIGIDO DIAMETRO 1.1/4"</t>
  </si>
  <si>
    <t xml:space="preserve">FIO ISOLADO PVC 750 V, No. 2,5 MM2 </t>
  </si>
  <si>
    <t xml:space="preserve">FIO ISOLADO PVC 750 V, No. 6 MM2 </t>
  </si>
  <si>
    <t xml:space="preserve">FIO ISOLADO PVC 750 V, No. 10 MM2 </t>
  </si>
  <si>
    <t xml:space="preserve">INTERRUPTOR PARALELO SIMPLES (1 SECAO) </t>
  </si>
  <si>
    <t xml:space="preserve">INTERRUPTOR SIMPLES (2 SECOES) </t>
  </si>
  <si>
    <t xml:space="preserve">INTERRUPTOR SIMPLES 1 SEÇÃO E 1 TOMADA HEXAGONAL 2P + T - 10A CONJUGADOS </t>
  </si>
  <si>
    <t xml:space="preserve">LUMINÁRIA DE SOBREPOR COM REFLETOR DE ALUMÍNIO E ALETAS 2X28W </t>
  </si>
  <si>
    <t xml:space="preserve">QUADRO DE DISTRIBUIÇÃO DE EMBUTIR METÁLICO CB-24E - 150A </t>
  </si>
  <si>
    <t xml:space="preserve">QUADRO DE DISTRIBUIÇÃO DE EMBUTIR METÁLICO CB-44E - 150A </t>
  </si>
  <si>
    <t xml:space="preserve">TOMADA HEXAGONAL 2P + T - 10A - 250V (LINHA X OU EQUIVALENTE) </t>
  </si>
  <si>
    <t xml:space="preserve">TOMADA HEXAGONAL 2P + T - 20A - 250V (LINHA X OU EQUIVALENTE) </t>
  </si>
  <si>
    <t xml:space="preserve">SINAPI </t>
  </si>
  <si>
    <t>INTERRUPTOR SIMPLES (2 MÓDULOS) COM 1 TOMADA DE EMBUTIR 2P+T 10 A, SEM SUPORTE E SEM PLACA - FORNECIMENTO E INSTALAÇÃO. AF_12/2015</t>
  </si>
  <si>
    <t>6.1</t>
  </si>
  <si>
    <t>6.2</t>
  </si>
  <si>
    <t>6.6</t>
  </si>
  <si>
    <t>6.7</t>
  </si>
  <si>
    <t>6.3</t>
  </si>
  <si>
    <t>6.4</t>
  </si>
  <si>
    <t>6.5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</si>
  <si>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</si>
  <si>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</si>
  <si>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</si>
  <si>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</si>
  <si>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</si>
  <si>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</si>
  <si>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</si>
  <si>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</si>
  <si>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</si>
  <si>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</si>
  <si>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</si>
  <si>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</si>
  <si>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</si>
  <si>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</si>
  <si>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</si>
  <si>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</si>
  <si>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</si>
  <si>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</si>
  <si>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</si>
  <si>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</si>
  <si>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</si>
  <si>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</si>
  <si>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</si>
  <si>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</si>
  <si>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</si>
  <si>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</si>
  <si>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</si>
  <si>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</si>
  <si>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</si>
  <si>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</si>
  <si>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</si>
  <si>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</si>
  <si>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</si>
  <si>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</si>
  <si>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</si>
  <si>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</si>
  <si>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</si>
  <si>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</si>
  <si>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</si>
  <si>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</si>
  <si>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</si>
  <si>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</si>
  <si>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</si>
  <si>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</si>
  <si>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</si>
  <si>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</si>
  <si>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</si>
  <si>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</si>
  <si>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</si>
  <si>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</si>
  <si>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</si>
  <si>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</si>
  <si>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</si>
  <si>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</si>
  <si>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</si>
  <si>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</si>
  <si>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</si>
  <si>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</si>
  <si>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</si>
  <si>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</si>
  <si>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E S G O T O S A N I T A R I O</t>
  </si>
  <si>
    <t>B U C H A S</t>
  </si>
  <si>
    <t>BUCHA DE REDUCAO LONGA DIAM. 50 X 40 MM</t>
  </si>
  <si>
    <t>C O R P O DE C A I X A S I F O N A D A/R A L O</t>
  </si>
  <si>
    <t xml:space="preserve">CORPO CX. SIFONADA DIAM. 150 X 150 X 50 </t>
  </si>
  <si>
    <t xml:space="preserve">CORPO RALO SIFONADO CILINDRICO 100 X 40 </t>
  </si>
  <si>
    <t xml:space="preserve"> C U R V A S</t>
  </si>
  <si>
    <t xml:space="preserve">CURVA 90 GRAUS LONGA DIAM. 100 MM </t>
  </si>
  <si>
    <t xml:space="preserve"> CURVA 45 GRAUS DIAMETRO 40 MM </t>
  </si>
  <si>
    <t xml:space="preserve">CURVA 90 GRAUS CURTA DIAM. 100 MM </t>
  </si>
  <si>
    <t xml:space="preserve">CURVA 90 GRAUS CURTA DIAM. 50 MM </t>
  </si>
  <si>
    <t xml:space="preserve">CURVA 90 GRAUS CURTA DIAM. 40 MM </t>
  </si>
  <si>
    <t>D I V E R S O S</t>
  </si>
  <si>
    <t>J O E L H O S</t>
  </si>
  <si>
    <t xml:space="preserve">JOELHO 90 GRAUS C/ANEL 40 mm </t>
  </si>
  <si>
    <t xml:space="preserve">JOELHO 90 GRAUS DIAMETRO 75 MM </t>
  </si>
  <si>
    <t xml:space="preserve">JOELHO 90 GRAUS DIAMETRO 50 MM </t>
  </si>
  <si>
    <t xml:space="preserve">JOELHO 90 GRAUS DIAMETRO 100 MM </t>
  </si>
  <si>
    <t>J U N C O E S</t>
  </si>
  <si>
    <t xml:space="preserve">JUNCAO SIMPLES DIAMETRO 50 X 50 MM </t>
  </si>
  <si>
    <t xml:space="preserve">JUNCAO SIMPLES DIAMETRO 75 X 75 MM </t>
  </si>
  <si>
    <t xml:space="preserve">JUNCAO SIMPLES DIAM. 100 X 50 MM </t>
  </si>
  <si>
    <t xml:space="preserve">JUNCAO SIMPLES DIAMETRO 100 X 75 MM </t>
  </si>
  <si>
    <t xml:space="preserve">JUNCAO SIMPLES DIAM. 100 X 100 MM </t>
  </si>
  <si>
    <t>PORTA GRELHA QUADRADO P/GREL.QUADRADA DIAM. 100 MM</t>
  </si>
  <si>
    <t>P O R T A / G R E L H A</t>
  </si>
  <si>
    <t>R E D U C O E S</t>
  </si>
  <si>
    <t xml:space="preserve">REDUCAO EXCENTRICA 75 X 50 MM </t>
  </si>
  <si>
    <t xml:space="preserve">REDUCAO EXCENTRICA 100 X 50 MM </t>
  </si>
  <si>
    <t>T E</t>
  </si>
  <si>
    <t xml:space="preserve">TE SANITARIO DIAMETRO 50 X 50 MM </t>
  </si>
  <si>
    <t>T U B O S</t>
  </si>
  <si>
    <t xml:space="preserve">TUBO SOLD.P/ESGOTO DIAM. 40 MM </t>
  </si>
  <si>
    <t xml:space="preserve"> TUBO SOLD. P/ESGOTO DIAM. 50 MM </t>
  </si>
  <si>
    <t>m</t>
  </si>
  <si>
    <t xml:space="preserve">TUBO SOLDAVEL P/ESGOTO DIAM.75 MM </t>
  </si>
  <si>
    <t xml:space="preserve">TUBO SOLDAVEL P/ESGOTO DIAM. 100 MM </t>
  </si>
  <si>
    <t>L O U C A S E M E T A I S</t>
  </si>
  <si>
    <t>V A S O S A N I T A R I O / A C E S S O R I O S</t>
  </si>
  <si>
    <t>VASO SANITÁRIO COM CAIXA ACOPLADA COM DUPLO ACIONAMENTO - COMPLETO EXCLUSO O ASSENTO</t>
  </si>
  <si>
    <t xml:space="preserve">ASSENTO EM POLIPROPILENO COM SISTEMA DE FECHAMENTO SUAVE PARA VASO SANITÁRIO </t>
  </si>
  <si>
    <t xml:space="preserve">PORTA PAPEL HIGIÊNICO EM METAL/ACABAMENTO CROMADO </t>
  </si>
  <si>
    <t>L A V A T O R I O / A C E S S O R I O S</t>
  </si>
  <si>
    <t xml:space="preserve">LIGAÇÃO FLEXÍVEL METÁLICA DIAM.1/2"(ENGATE) </t>
  </si>
  <si>
    <t xml:space="preserve">SIFAO FLEXIVEL UNIVERSAL ( SANFONADO) EM PVC PARA LAVATORIO </t>
  </si>
  <si>
    <t xml:space="preserve">TORNEIRA DE MESA PARA LAVATÓRIO DIÂMETRO DE 1/2" </t>
  </si>
  <si>
    <t xml:space="preserve"> CUBA DE LOUCA DE EMBUTIR OVAL MÉDIA </t>
  </si>
  <si>
    <t>M I C T O R I O/A C E S S O R I O S</t>
  </si>
  <si>
    <t xml:space="preserve">MICTORIO DE LOUCA C/SIFAO INTEGRADO </t>
  </si>
  <si>
    <t xml:space="preserve"> KIT FERR.P/MICT.LOUCA (ESPUDE,CONEXÃO ENTR.PARAFUSOS) </t>
  </si>
  <si>
    <t>VÁLVULA DE DESCARGA PARA MICTÓRIO DIÂMETRO 1/2" FECHAMENTO AUTOMÁTICO TEMPORIZADO</t>
  </si>
  <si>
    <t>P I A / A C E S S O R I O S</t>
  </si>
  <si>
    <t xml:space="preserve">TORNEIRA DE MESA PARA PIA DIÂMETRO DE 1/2" - BICA MÓVEL </t>
  </si>
  <si>
    <t xml:space="preserve">SIFAO P/PIA 1.1/2"X2" PVC CROMADO </t>
  </si>
  <si>
    <t>VALVULA P/PIA TIPO AMERICANA DIAM.3.1/2" (METAL)</t>
  </si>
  <si>
    <t xml:space="preserve">CUBA INOX 46X30X15CM E=0,6MM-AÇO 304 (CUBA Nº 1) </t>
  </si>
  <si>
    <t xml:space="preserve"> T A N Q U E S / T O R N E I R A S J A R D I M S</t>
  </si>
  <si>
    <t>TANQUE MARMORE/GRANITO SINTÉTICO C/DUAS CUBAS E 1 BATEDOR</t>
  </si>
  <si>
    <t>TORNEIRA DE PAREDE PARA TANQUE COM AREJADOR DIÂMETRO DE 1/2" E 3/4"</t>
  </si>
  <si>
    <t xml:space="preserve">VALVULA P/TANQUE METALICA DIAM.1" S/LADRAO </t>
  </si>
  <si>
    <t xml:space="preserve">HIDROMETRO DIAM.RAMAL = 25 MM VAZAO =1,5 A 3 M3 </t>
  </si>
  <si>
    <t xml:space="preserve">KIT CAVALETE D=25MM P/HIDRÔMETRO 1,5-3,0-5,0 M3/MURETA/CAIXA </t>
  </si>
  <si>
    <t xml:space="preserve">CAIXA DE INSPEÇÃO - TAMPA EM CONCRETO ARMADO 25 MPA E=5CM </t>
  </si>
  <si>
    <t>CAIXA DE INSPEÇÃO - LASTRO DE CONCRETO (COM ADIÇÃO DE IMPERMEABILIZANTE) 20MPA E=5CM PARA O FUNDO</t>
  </si>
  <si>
    <t>CAIXA DE INSPEÇÃO - ALVENARIA DE 1/2 VEZ COM REVESTIMENTO INTERNO EM REBOCO PAULISTA A-14 (COM ADIÇÃO DE IMPERMEABILIZANTE)</t>
  </si>
  <si>
    <t xml:space="preserve">CAIXA DE INSPEÇÃO - ESCAVAÇÃO MANUAL / REATERRO/ APILOAMENTO DO FUNDO </t>
  </si>
  <si>
    <t>6.68</t>
  </si>
  <si>
    <t>6.69</t>
  </si>
  <si>
    <t>6.70</t>
  </si>
  <si>
    <t>6.71</t>
  </si>
  <si>
    <t>6.72</t>
  </si>
  <si>
    <t>6.73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</si>
  <si>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</si>
  <si>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</si>
  <si>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</si>
  <si>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</si>
  <si>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</si>
  <si>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</si>
  <si>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</si>
  <si>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</si>
  <si>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</si>
  <si>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</si>
  <si>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</si>
  <si>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</si>
  <si>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</si>
  <si>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</si>
  <si>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</si>
  <si>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</si>
  <si>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</si>
  <si>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</si>
  <si>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</si>
  <si>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7.25</t>
  </si>
  <si>
    <t>7.26</t>
  </si>
  <si>
    <t>7.27</t>
  </si>
  <si>
    <t>7.28</t>
  </si>
  <si>
    <t>7.29</t>
  </si>
  <si>
    <t>7.30</t>
  </si>
  <si>
    <t>7.31</t>
  </si>
  <si>
    <t>7.37</t>
  </si>
  <si>
    <t>7.40</t>
  </si>
  <si>
    <t>7.43</t>
  </si>
  <si>
    <t>7.44</t>
  </si>
  <si>
    <t>7.46</t>
  </si>
  <si>
    <t>7.47</t>
  </si>
  <si>
    <t>7.49</t>
  </si>
  <si>
    <t>7.50</t>
  </si>
  <si>
    <t>7.54</t>
  </si>
  <si>
    <t>7.57</t>
  </si>
  <si>
    <t>7.59</t>
  </si>
  <si>
    <t>7.60</t>
  </si>
  <si>
    <t>7.64</t>
  </si>
  <si>
    <t>7.71</t>
  </si>
  <si>
    <t>7.73</t>
  </si>
  <si>
    <t>7.74</t>
  </si>
  <si>
    <t>7.76</t>
  </si>
  <si>
    <t>7.77</t>
  </si>
  <si>
    <t>7.78</t>
  </si>
  <si>
    <t>7.79</t>
  </si>
  <si>
    <t>7.80</t>
  </si>
  <si>
    <t>7.81</t>
  </si>
  <si>
    <t>7.82</t>
  </si>
  <si>
    <t>7.84</t>
  </si>
  <si>
    <t>7.85</t>
  </si>
  <si>
    <t>GRUPO DE SERVIÇO: 171 - INSTALAÇÕES ESPECIAIS</t>
  </si>
  <si>
    <t>INSTALACOES ESPECIAIS</t>
  </si>
  <si>
    <t>ALVENARIA DE TIJOLO FURADO 1/2 VEZ 11,5 X 19 X 19 - ARG. ( 1 CALH:4ARML + 100 KG DECI/M3)</t>
  </si>
  <si>
    <t>8.1</t>
  </si>
  <si>
    <t>9.1</t>
  </si>
  <si>
    <t>9.2</t>
  </si>
  <si>
    <t xml:space="preserve">   Desconto de portas</t>
  </si>
  <si>
    <t xml:space="preserve">   Desconto de janelas </t>
  </si>
  <si>
    <t xml:space="preserve">   Desconto de vão</t>
  </si>
  <si>
    <t>Banheiro Masculino</t>
  </si>
  <si>
    <t>Desconto de vão de porta</t>
  </si>
  <si>
    <t>Banheiro Feminino</t>
  </si>
  <si>
    <t>0,52*3,00</t>
  </si>
  <si>
    <t>2,00*0,90+6,00*0,70</t>
  </si>
  <si>
    <t xml:space="preserve">ACO CA 50-A - 8,0 MM (5/16") - (OBRAS CIVIS) </t>
  </si>
  <si>
    <t>4.8</t>
  </si>
  <si>
    <t>Peso</t>
  </si>
  <si>
    <t>VERGA/CONTRAVERGA EM CONCRETO ARMADO FCK = 20 MPA</t>
  </si>
  <si>
    <t xml:space="preserve"> m3 </t>
  </si>
  <si>
    <t xml:space="preserve">FORMA- CH.COMPENSADA 12 MM UTILIZAÇÃO 3 VEZES - (OBRAS CIVIS) </t>
  </si>
  <si>
    <t>m2</t>
  </si>
  <si>
    <t xml:space="preserve">ACO CA-50-A - 6,3 MM (1/4") - (OBRAS CIVIS) </t>
  </si>
  <si>
    <t xml:space="preserve">ACO CA-50A - 10,0 MM (3/8") - (OBRAS CIVIS) </t>
  </si>
  <si>
    <t>FORRO EM LAJE PRE-MOLDADA INC.CAPEAMENTO/FERR.DISTRIB./ESCORAMENTO E FORMA/DESFORMA</t>
  </si>
  <si>
    <t xml:space="preserve">FORMA TABUA PINHO P/FUNDACOES U=3V - (OBRAS CIVIS) </t>
  </si>
  <si>
    <t>4.9</t>
  </si>
  <si>
    <t xml:space="preserve">ACO CA-50A - 12,5 MM (1/2") - (OBRAS CIVIS) </t>
  </si>
  <si>
    <t>5.1</t>
  </si>
  <si>
    <t>5.2</t>
  </si>
  <si>
    <t>5.3</t>
  </si>
  <si>
    <t>5.4</t>
  </si>
  <si>
    <t>5.5</t>
  </si>
  <si>
    <t>5.6</t>
  </si>
  <si>
    <t>5.7</t>
  </si>
  <si>
    <t xml:space="preserve">Largura </t>
  </si>
  <si>
    <t>6,00*1,30</t>
  </si>
  <si>
    <t xml:space="preserve">Volume </t>
  </si>
  <si>
    <t xml:space="preserve">Porta 0,80 x 2,10 - Verga </t>
  </si>
  <si>
    <t xml:space="preserve">IMPERMEABILIZACAO VIGAS BALDRAMES E=2,0 CM </t>
  </si>
  <si>
    <t xml:space="preserve">IMPERMEABILIZAÇÃO-REBAIXO BANHEIRO COM 4 DEMÃOS DE EMULSÃO ASFÁLTICA </t>
  </si>
  <si>
    <t>10.1</t>
  </si>
  <si>
    <t>10.2</t>
  </si>
  <si>
    <t>10.3</t>
  </si>
  <si>
    <t>Vigas baldrame</t>
  </si>
  <si>
    <t>5.9</t>
  </si>
  <si>
    <t>ACO CA-50 A - 8,0 MM (5/16") - (OBRAS CIVIS)</t>
  </si>
  <si>
    <t>Cozinha</t>
  </si>
  <si>
    <t xml:space="preserve">ESTRUT.-TELHA DE FIBROCIMENTO (C/TESOURA) C/FERRAGENS </t>
  </si>
  <si>
    <t>11.1</t>
  </si>
  <si>
    <t>10.</t>
  </si>
  <si>
    <t>ESTRUTURA METÁLICA CONVENCIONAL EM AÇO DO TIPO MR-250 / ASTM A36 COM FUNDO ANTICORROSIVO</t>
  </si>
  <si>
    <t xml:space="preserve">CALHA DE CHAPA GALVANIZADA </t>
  </si>
  <si>
    <t>CALHA DE CHAPA GALVANIZADA</t>
  </si>
  <si>
    <t xml:space="preserve">RUFO DE CHAPA GALVANIZADA </t>
  </si>
  <si>
    <t xml:space="preserve"> CUMEEIRA PARA TELHA GALVANIZADA TRAPEZOIDAL 0,5 MM </t>
  </si>
  <si>
    <t>FECHAMENTO LATERAL COM TELHA GALVANIZADA TRAPEZOIDAL 0,43 MM COM ACESSÓRIOS</t>
  </si>
  <si>
    <t xml:space="preserve">
m2 </t>
  </si>
  <si>
    <t>13.3</t>
  </si>
  <si>
    <t>13.4</t>
  </si>
  <si>
    <t>13.5</t>
  </si>
  <si>
    <t>13.7</t>
  </si>
  <si>
    <t>12.1</t>
  </si>
  <si>
    <t xml:space="preserve">Refeitorio </t>
  </si>
  <si>
    <t>Circulação</t>
  </si>
  <si>
    <t xml:space="preserve">ACO CA - 60 - 5,0 MM - (OBRAS CIVIS) </t>
  </si>
  <si>
    <t>7.93</t>
  </si>
  <si>
    <t>7.98</t>
  </si>
  <si>
    <t>7.99</t>
  </si>
  <si>
    <t>7.100</t>
  </si>
  <si>
    <t>7.101</t>
  </si>
  <si>
    <t>7.103</t>
  </si>
  <si>
    <t>7.104</t>
  </si>
  <si>
    <t>7.105</t>
  </si>
  <si>
    <t>7.107</t>
  </si>
  <si>
    <t>7.108</t>
  </si>
  <si>
    <t>7.109</t>
  </si>
  <si>
    <t>7.110</t>
  </si>
  <si>
    <t>7.111</t>
  </si>
  <si>
    <t xml:space="preserve">CHAPISCO COMUM </t>
  </si>
  <si>
    <t xml:space="preserve">REVESTIMENTO COM CERÂMICA </t>
  </si>
  <si>
    <t>17.1</t>
  </si>
  <si>
    <t xml:space="preserve">   Desconto de vão de porta</t>
  </si>
  <si>
    <t xml:space="preserve">   Desconto de vão de janela </t>
  </si>
  <si>
    <t xml:space="preserve">Deposito </t>
  </si>
  <si>
    <t xml:space="preserve">PORTA LISA 80x210 C/PORTAL E ALISAR S/FERRAGENS </t>
  </si>
  <si>
    <t>14.1</t>
  </si>
  <si>
    <t>14.2</t>
  </si>
  <si>
    <t xml:space="preserve">Adm. Financeiro </t>
  </si>
  <si>
    <t>ESQ.DE CORRER CHAPA/VIDRO J9/J10/J12/J13 C/FERRAGENS</t>
  </si>
  <si>
    <t xml:space="preserve"> PORTA ABRIR CH.P/WC PF-10 C/FERRAGENS </t>
  </si>
  <si>
    <t>15.2</t>
  </si>
  <si>
    <t>15.5</t>
  </si>
  <si>
    <t>15.7</t>
  </si>
  <si>
    <t xml:space="preserve">Total </t>
  </si>
  <si>
    <t>Item 15.7</t>
  </si>
  <si>
    <t xml:space="preserve">GESSO CORRIDO EM TETO </t>
  </si>
  <si>
    <t xml:space="preserve">FECH.(ALAV.) LAFONTE 6236 E/8766- E17 IMAB OU EQUIV. </t>
  </si>
  <si>
    <t xml:space="preserve">BARRA DE APOIO EM AÇO INOX - 40 CM </t>
  </si>
  <si>
    <t xml:space="preserve">BARRA DE APOIO EM AÇO INOX - 80 CM </t>
  </si>
  <si>
    <t xml:space="preserve">DOBRADICA 3" x 3 1/2" FERRO POLIDO </t>
  </si>
  <si>
    <t>Portas de 0,80 x 2,10</t>
  </si>
  <si>
    <t>5.10</t>
  </si>
  <si>
    <t>5.11</t>
  </si>
  <si>
    <t>5.12</t>
  </si>
  <si>
    <t>H</t>
  </si>
  <si>
    <t>21.1</t>
  </si>
  <si>
    <t>21.2</t>
  </si>
  <si>
    <t>21.3</t>
  </si>
  <si>
    <t>21.4</t>
  </si>
  <si>
    <t xml:space="preserve">CAIAÇAO 2 DEMAOS EM POSTE/ VIGAS E MEIO FIO(OC) </t>
  </si>
  <si>
    <t xml:space="preserve">FUNDO ANTICORROSIVO PARA ESQUADRIAS METÁLICAS </t>
  </si>
  <si>
    <t xml:space="preserve">EMASSAMENTO COM MASSA PVA DUAS DEMAOS </t>
  </si>
  <si>
    <t xml:space="preserve">PINTURA LATEX ACRILICA 2 DEMAOS C/SELADOR </t>
  </si>
  <si>
    <t xml:space="preserve">PINTURA LATEX DUAS DEMAOS COM SELADOR </t>
  </si>
  <si>
    <t xml:space="preserve">PINTURA ESMALTE ALQUIDICO ESTR.METALICA 2 DEMAOS </t>
  </si>
  <si>
    <t xml:space="preserve">DEMARC.QUADRA/VAGAS TINTA POLIESPORTIVA </t>
  </si>
  <si>
    <t>Subtotal x 2 faces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</si>
  <si>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</si>
  <si>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</si>
  <si>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</si>
  <si>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</si>
  <si>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</si>
  <si>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</si>
  <si>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</si>
  <si>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</si>
  <si>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</si>
  <si>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Subtotal x 1 faces</t>
  </si>
  <si>
    <t>PINTURA ESMALTE SINTETICO 2 DEMÃOS EM ESQ. MADEIRA</t>
  </si>
  <si>
    <t xml:space="preserve"> PINTURA ESMALTE 1 DEMÃO ESQUADRIA METALICA S/FUNDO ANTICORR.</t>
  </si>
  <si>
    <t>22.10</t>
  </si>
  <si>
    <t>Faces</t>
  </si>
  <si>
    <t>Item 15.1</t>
  </si>
  <si>
    <t>Item 15.2</t>
  </si>
  <si>
    <t>Item 15.3</t>
  </si>
  <si>
    <t>Item 15.4</t>
  </si>
  <si>
    <t>Item 15.6</t>
  </si>
  <si>
    <t xml:space="preserve"> PASSEIO PROTECAO EM CONC.DESEMPEN.5 CM 1:2,5:3,5 ( INCLUSO ESPELHO DE 30CM/ESCAVAÇÃO/REATERRO/APILOAMENTO/ATERRO INTERNO)</t>
  </si>
  <si>
    <t xml:space="preserve">GRANITINA 8MM FUNDIDA COM CONTRAPISO (1CI:3ARML) E=2CM E JUNTA PLASTICA 27MM </t>
  </si>
  <si>
    <t xml:space="preserve">RODAPÉ FUNDIDO DE GRANITINA 7CM </t>
  </si>
  <si>
    <t xml:space="preserve">Faces </t>
  </si>
  <si>
    <t xml:space="preserve">LASTRO DE CONCRETO REGULARIZADO SEM IMPERMEAB. 1:3:6 ESP= 5CM (BASE) </t>
  </si>
  <si>
    <t xml:space="preserve">CIMENT.LISO IMP.NATURAL E=2CM C/JUNTA PL.1CI:3ARMG </t>
  </si>
  <si>
    <t>19.1</t>
  </si>
  <si>
    <t>19.2</t>
  </si>
  <si>
    <t>19.3</t>
  </si>
  <si>
    <t>19.4</t>
  </si>
  <si>
    <t>Recepção</t>
  </si>
  <si>
    <t xml:space="preserve">ALAMBRADO COM POSTE DE CONCRETO E CINTA ARMADA PD. GOINFRA </t>
  </si>
  <si>
    <t>PLACA DE INAUGURAÇÃO EM DURALUMÍNIO 80 X 60 CM</t>
  </si>
  <si>
    <t xml:space="preserve"> LETRA CAIXA INOX ESCOVADO COLOCADA </t>
  </si>
  <si>
    <t xml:space="preserve">SUPORTE PARA BANCADA EM FERRO "T" 1/8" X 1 1/4" </t>
  </si>
  <si>
    <t>23.2</t>
  </si>
  <si>
    <t>23.3</t>
  </si>
  <si>
    <t>23.4</t>
  </si>
  <si>
    <t>23.7</t>
  </si>
  <si>
    <t xml:space="preserve">Perímetro </t>
  </si>
  <si>
    <t xml:space="preserve"> </t>
  </si>
  <si>
    <t>DESCRIÇÃO DO SERVIÇO</t>
  </si>
  <si>
    <t>MÊS 1</t>
  </si>
  <si>
    <t>MÊS 2</t>
  </si>
  <si>
    <t>MÊS 3</t>
  </si>
  <si>
    <t>MÊS 4</t>
  </si>
  <si>
    <t>MÊS 5</t>
  </si>
  <si>
    <t>MÊS 6</t>
  </si>
  <si>
    <t>VALOR DO SERVIÇO</t>
  </si>
  <si>
    <t>% DO SERVIÇO</t>
  </si>
  <si>
    <t xml:space="preserve">PERCENTUAL DE EXECUÇÃO </t>
  </si>
  <si>
    <t xml:space="preserve">PERCENTUAL ACUMULADO DE EXECUÇÃO </t>
  </si>
  <si>
    <t>TOTAL DE EXECUÇÃO</t>
  </si>
  <si>
    <t>TOTAL ACUMULADO DE EXECUÇÃO</t>
  </si>
  <si>
    <t>MÊS 7</t>
  </si>
  <si>
    <t>MÊS 8</t>
  </si>
  <si>
    <t>MÊS 9</t>
  </si>
  <si>
    <t>MÊS 10</t>
  </si>
  <si>
    <t>MÊS 11</t>
  </si>
  <si>
    <t>MÊS 12</t>
  </si>
  <si>
    <t>CENTRAL DE GÁS PADRÃO GOINFRA SEM INSTALAÇÕES (1+1 CILINDRO 45 KG)</t>
  </si>
  <si>
    <t xml:space="preserve">TORNEIRA DE JARDIM COM BICO PARA MANGUEIRA DIÂMETRO DE 1/2" E 3/4" </t>
  </si>
  <si>
    <t>R E G I S T R O S</t>
  </si>
  <si>
    <t>7.115</t>
  </si>
  <si>
    <t>7.116</t>
  </si>
  <si>
    <t>7.117</t>
  </si>
  <si>
    <t>7.118</t>
  </si>
  <si>
    <t>7.122</t>
  </si>
  <si>
    <t>7.123</t>
  </si>
  <si>
    <t>7.124</t>
  </si>
  <si>
    <t>7.125</t>
  </si>
  <si>
    <t>7.127</t>
  </si>
  <si>
    <t>7.128</t>
  </si>
  <si>
    <t>7.129</t>
  </si>
  <si>
    <t>7.130</t>
  </si>
  <si>
    <t>7.131</t>
  </si>
  <si>
    <t>7.132</t>
  </si>
  <si>
    <t>7.133</t>
  </si>
  <si>
    <t>7.134</t>
  </si>
  <si>
    <t>7.135</t>
  </si>
  <si>
    <t>7.138</t>
  </si>
  <si>
    <t xml:space="preserve">REGISTRO DE GAVETA C/CANOPLA DIAMETRO 3/4" </t>
  </si>
  <si>
    <t xml:space="preserve">REGISTRO DE PRESSAO C/CANOPLA CROMADA DIAM.3/4" </t>
  </si>
  <si>
    <t>AGUA FRIA</t>
  </si>
  <si>
    <t>T U B O S DE P V C S O L D A V E L</t>
  </si>
  <si>
    <t xml:space="preserve">TUBO SOLDAVEL PVC MARROM DIAMETRO 25 mm </t>
  </si>
  <si>
    <t xml:space="preserve">TUBO SOLDAVEL PVC MARROM DIAMETRO 32 mm </t>
  </si>
  <si>
    <t xml:space="preserve">TUBO SOLDAVEL PVC MARROM DIAM. 50 mm </t>
  </si>
  <si>
    <t xml:space="preserve">ADAPTAD.SOLD.CURTO C/BOLSA E ROSCA P/REG.25X3/4" </t>
  </si>
  <si>
    <t xml:space="preserve">ADAPTAD.SOLD.CURTO C/BOLSA/ROSCA P/REG.50X11/2" </t>
  </si>
  <si>
    <t xml:space="preserve"> L U V A S DE P V C</t>
  </si>
  <si>
    <t xml:space="preserve">LUVA SOLDAVEL DIAMETRO 25 mm </t>
  </si>
  <si>
    <t xml:space="preserve"> J O E L H O S</t>
  </si>
  <si>
    <t xml:space="preserve">JOELHO 90 GRAUS SOLDAVEL DIAMETRO 25 MM </t>
  </si>
  <si>
    <t xml:space="preserve">JOELHO 90 GRAUS SOLDAVEL DIAMETRO 32 MM (1") </t>
  </si>
  <si>
    <t xml:space="preserve">JOELHO 90 GRAUS SOLDAVEL 50 mm (MARROM) </t>
  </si>
  <si>
    <t>JOELHO 90 GRAUS SOLD. C/BUCHA LATAO 25 X 3/4"</t>
  </si>
  <si>
    <t xml:space="preserve">JOELHO RED.90 GRAUS SOLD.C/BUCHA LATAO 25X1/2" </t>
  </si>
  <si>
    <t xml:space="preserve"> T E</t>
  </si>
  <si>
    <t xml:space="preserve"> TE 90 GRAUS SOLDAVEL DIAMETRO 25 mm</t>
  </si>
  <si>
    <t xml:space="preserve">TE 90 GRAUS SOLDAVEL DIAMETRO 32 mm </t>
  </si>
  <si>
    <t xml:space="preserve">TE 90 GRAUS SOLDAVEL DIAMETRO 50 mm </t>
  </si>
  <si>
    <t>C U R V A S</t>
  </si>
  <si>
    <t xml:space="preserve">TUBO SOLDAVEL PVC MARROM DIAMETRO 60 mm (2") </t>
  </si>
  <si>
    <t>TE 90 GRAUS SOLDAVEL DIMETRO 60 mm</t>
  </si>
  <si>
    <t>7.139</t>
  </si>
  <si>
    <t>7.141</t>
  </si>
  <si>
    <t>TRAMA DE AÇO COMPOSTA POR TERÇAS PARA TELHADOS DE ATÉ 2 ÁGUAS PARA TELHA ONDULADA DE FIBROCIMENTO, METÁLICA, PLÁSTICA OU TERMOACÚSTICA, INCLUSO TRANSPORTE VERTICAL. AF_07/2019</t>
  </si>
  <si>
    <t>12.2</t>
  </si>
  <si>
    <t>12.3</t>
  </si>
  <si>
    <t>Massa linear de Seção U Simples</t>
  </si>
  <si>
    <t>GRUPO DE SERVIÇO: 100002 - PAVIMENTAÇÃO</t>
  </si>
  <si>
    <t xml:space="preserve"> m3km </t>
  </si>
  <si>
    <t>PAVIMENTAÇÃO</t>
  </si>
  <si>
    <t xml:space="preserve">FORNECIMENTO DE EMULSÃO RR-2C </t>
  </si>
  <si>
    <t xml:space="preserve">PORTAO TELA/TUBO FoGo PT1/PT2 C/FERRAGENS </t>
  </si>
  <si>
    <t>CÓDIGO - TABELA</t>
  </si>
  <si>
    <t>UNIDADE</t>
  </si>
  <si>
    <t>QUANTIDADE</t>
  </si>
  <si>
    <t>PREÇO UNITÁRIO</t>
  </si>
  <si>
    <t>PREÇO TOTAL</t>
  </si>
  <si>
    <t xml:space="preserve"> 4777 - SINAPI</t>
  </si>
  <si>
    <t>CANTONEIRA ACO ABAS IGUAIS (QUALQUER BITOLA), ESPESSURA ENTRE 1/8" E 1/4"</t>
  </si>
  <si>
    <t>10997 - SINAPI</t>
  </si>
  <si>
    <t>ELETRODO REVESTIDO AWS - E7018, DIAMETRO IGUAL A 4,00 MM</t>
  </si>
  <si>
    <t>40598 - SINAPI</t>
  </si>
  <si>
    <t>PERFIL UDC ("U" DOBRADO DE CHAPA) SIMPLES DE ACO LAMINADO, GALVANIZADO, ASTM A36, 127 X 50 MM, E= 3 MM</t>
  </si>
  <si>
    <t>88278 - SINAPI</t>
  </si>
  <si>
    <t>MONTADOR DE ESTRUTURA METÁLICA COM ENCARGOS COMPLEMENTARES</t>
  </si>
  <si>
    <t xml:space="preserve">88316 - SINAPI </t>
  </si>
  <si>
    <t>SERVENTE COM ENCARGOS COMPLEMENTARES</t>
  </si>
  <si>
    <t>92258 - SINAPI</t>
  </si>
  <si>
    <t>INSTALAÇÃO DE TESOURA (INTEIRA OU MEIA), EM AÇO.</t>
  </si>
  <si>
    <t>12.4</t>
  </si>
  <si>
    <t>MEIO FIO PD. GOINFRA EM CONC. PRÉ MOLD. RETO/CURVO (5X25X100CM), FC28=20MPA COM ARGAM.(1CI:3ARMLC) P/ARREMATE DO REJUNT. E PINTURA A CAL 2 DEMÃOS -INCLUSO ESCAV./APILOAM./REATERRO E CONC.FC28= 10MPA P/ ASSENTAM. ECHUMBAMENTO</t>
  </si>
  <si>
    <t>BANCADA DE GRANITO C/ESPELHO</t>
  </si>
  <si>
    <t>JOELHO 90 GRAUS SOLDAVEL DIAMETRO 60 mm</t>
  </si>
  <si>
    <t>CORTE/DESTOC./RETIRADA/REATERRO (MANUAIS) DE ÁRVORE GRANDE PORTE ( H = 8 A 10M / DIÂMETRO TRONCO 60 A 70CM E COPA DE 10 A 13M ) C/TRANSP.ATE C.B.E CARGA</t>
  </si>
  <si>
    <t xml:space="preserve">Corte de arvores </t>
  </si>
  <si>
    <t>PISO EM LAJE PRÉ-MOLDADA INC. CAPEAMENTO/FERR.DISTRIB./ESCORAMENTO E FORMA/DESFORMA</t>
  </si>
  <si>
    <t>IMPERMEABILIZAÇÃO MURO DE ARRIMO COM 4 DEMÃOS DE EMULSÃO ASFÁLTICA</t>
  </si>
  <si>
    <t>Depósito</t>
  </si>
  <si>
    <t>BDI</t>
  </si>
  <si>
    <t>und.</t>
  </si>
  <si>
    <t>mês</t>
  </si>
  <si>
    <t>pr</t>
  </si>
  <si>
    <t>tkm</t>
  </si>
  <si>
    <t>t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</si>
  <si>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</si>
  <si>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</si>
  <si>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</si>
  <si>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</si>
  <si>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</si>
  <si>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</si>
  <si>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</si>
  <si>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</si>
  <si>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</si>
  <si>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</si>
  <si>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</si>
  <si>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</si>
  <si>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TRANSPORTE DE ENTULHO CAÇAMBA ESTACIONÁRIA INCLUSO A CARGA MANUAL</t>
  </si>
  <si>
    <t>Volume de limpeza do terreno</t>
  </si>
  <si>
    <t>espessura</t>
  </si>
  <si>
    <t>empolamento</t>
  </si>
  <si>
    <t>TRANSPORTE DE ENTULHO EM CAMINHÃO SEM CARGA</t>
  </si>
  <si>
    <t>REBOCO (1 CALH:4 ARFC+100kgCI/M3)</t>
  </si>
  <si>
    <t xml:space="preserve">EMBOÇO (1CI:4 ARML) </t>
  </si>
  <si>
    <t xml:space="preserve">CAIXA DAGUA POLIETILENO 1000 LTS. C/TAMPA </t>
  </si>
  <si>
    <t>BUCHA E ARRUELA METALICA DIAM. 1.1/4"</t>
  </si>
  <si>
    <t>Alvenaria dos Boxs</t>
  </si>
  <si>
    <t>(386,82*2)+(96,48*2)+(96*15)+(3,85*7)</t>
  </si>
  <si>
    <t>3,85*32</t>
  </si>
  <si>
    <t>66,45+(4,50*5)+2,25+7,85+(3,27*3)+46,40+ (4,50*5)+3,94+3,86+0,85</t>
  </si>
  <si>
    <t>Alvenaria Pedra - paredes internas e externas</t>
  </si>
  <si>
    <t>Alvenaria Pedra - platibanda</t>
  </si>
  <si>
    <t>66,45+46,40</t>
  </si>
  <si>
    <t xml:space="preserve">   Desconto de portas metálicas</t>
  </si>
  <si>
    <t xml:space="preserve">   Desconto de portas 80x210</t>
  </si>
  <si>
    <t>0,80*16</t>
  </si>
  <si>
    <t xml:space="preserve">   Desconto de porta de vidro 240 x 210</t>
  </si>
  <si>
    <t>(1,50*3)+(2,1*4)+(2,9*2)</t>
  </si>
  <si>
    <t>(0,6*9)+(2,1*2)+1,5</t>
  </si>
  <si>
    <t xml:space="preserve">Alvenaria Camara fria </t>
  </si>
  <si>
    <t>29,20+17,30</t>
  </si>
  <si>
    <t>2,00+1,50</t>
  </si>
  <si>
    <t>Alvenaria Guarita</t>
  </si>
  <si>
    <t>Alvenaria Guarita Platibanda</t>
  </si>
  <si>
    <t>Alvenaria Camara fria Platibanda</t>
  </si>
  <si>
    <t>13,00+6,00+3,5+3,5+1,55</t>
  </si>
  <si>
    <t>1,35+(0,80*2)+0,70</t>
  </si>
  <si>
    <t xml:space="preserve">    Desconto de vão de portas</t>
  </si>
  <si>
    <t xml:space="preserve">    Desconto de janelas </t>
  </si>
  <si>
    <t>1,50*(0,70*2)</t>
  </si>
  <si>
    <t>DIVISORIA DE ARDOSIA POLIDA 3 CM</t>
  </si>
  <si>
    <t>4,85+2,15</t>
  </si>
  <si>
    <t>1,25*3</t>
  </si>
  <si>
    <t>0,60*5</t>
  </si>
  <si>
    <t>1,25*2</t>
  </si>
  <si>
    <t>0,60*3</t>
  </si>
  <si>
    <t>Divisória do mictório</t>
  </si>
  <si>
    <t>4*0,4</t>
  </si>
  <si>
    <t>Copa - Pedra</t>
  </si>
  <si>
    <t>Área de Serviço   Pedra</t>
  </si>
  <si>
    <t>W.C.  - Pedra</t>
  </si>
  <si>
    <t>Cozinha  - Pedra</t>
  </si>
  <si>
    <t>W.C. Feminino  - Pedra</t>
  </si>
  <si>
    <t>W.C. P.N.E. Feminino  - Pedra</t>
  </si>
  <si>
    <t>W.C. P.N.E. Masculino  - Pedra</t>
  </si>
  <si>
    <t>W.C. Masculino  - Pedra</t>
  </si>
  <si>
    <t>W.C. Guarita</t>
  </si>
  <si>
    <t xml:space="preserve">Camara Fria </t>
  </si>
  <si>
    <t>Área Molhada Boxs</t>
  </si>
  <si>
    <t>(1,50*3,85)*32</t>
  </si>
  <si>
    <t xml:space="preserve">Camara fria </t>
  </si>
  <si>
    <t>CURVA DE 90 GRAUS DE PVC RIGIDO DIAM. 1.1/4"</t>
  </si>
  <si>
    <t>CURVA DE 90 GRAUS DE PVC RIGIDO DIAM. 1.1/2"</t>
  </si>
  <si>
    <t>LUVA PVC ROSQUEAVEL DIAMETRO 1.1/4"</t>
  </si>
  <si>
    <t>LUVA PVC ROSQUEAVEL DIAMETRO 1.1/2"</t>
  </si>
  <si>
    <t>NIPLE METALICO Fo.Zo. DIAMETRO 1 1/4"</t>
  </si>
  <si>
    <t>NIPLE METALICO Fo.Zo. DIAMETRO 1"</t>
  </si>
  <si>
    <t>ARRUELA LISA D=1/4"</t>
  </si>
  <si>
    <t>ARRUELA LISA D=5/16"</t>
  </si>
  <si>
    <t>BUCHA DE NYLON S-10</t>
  </si>
  <si>
    <t>BUCHA DE NYLON S-6</t>
  </si>
  <si>
    <t>PARAFUSO SEXTAVADO D = 1/4" X 5/8"</t>
  </si>
  <si>
    <t>PARAFUSO SEXTAVADO D = 3/8" X 3/4"</t>
  </si>
  <si>
    <t>PARAFUSO SEXTAVADO CABEÇA LENTILHA D = 1/4" X 5/8"</t>
  </si>
  <si>
    <t>PORCA SEXTAVADA DIAMETRO 1/4"</t>
  </si>
  <si>
    <t>VERGALHAO ROSCA TOTAL D=1/4"</t>
  </si>
  <si>
    <t>FIO ISOLADO PVC 750 V, No. 1,5 MM2</t>
  </si>
  <si>
    <t xml:space="preserve">FIO ISOLADO PVC 750 V, No. 4 MM2 </t>
  </si>
  <si>
    <t>CAIXA DE PASSAGEM 30X30X40CM COM TAMPA E DRENO BRITA</t>
  </si>
  <si>
    <t>CAIXA DE PASSAGEM METÁLICA DE EMBUTIR 15X15X8 CM</t>
  </si>
  <si>
    <t>CAIXA DE PASSAGEM METÁLICA DE EMBUTIR 20X20X10 CM</t>
  </si>
  <si>
    <t>INTERRUPTOR SIMPLES (1 SECAO)</t>
  </si>
  <si>
    <t>TAMPA CEGA PLÁSTICA 4"X2" COM FURO CENTRAL (PARA TV/SOM...)</t>
  </si>
  <si>
    <t>TAMPA PARA CONDULETE DE PVC PARA 1 INTERRUPTOR</t>
  </si>
  <si>
    <t>TAMPA PARA CONDULETE DE PVC PARA 2 INTERRUPTORES</t>
  </si>
  <si>
    <t>DISPOSITIVO DE PROTEÇÃO CONTRA SURTOS (D.P.S.) 275V DE 90KA</t>
  </si>
  <si>
    <t>DISJUNTOR MONOPOLAR DE 35 A 50-A</t>
  </si>
  <si>
    <t>INTERRUPTOR DIFERENCIAL RESIDUAL (D.R.) TETRAPOLAR DE 25A-30mA</t>
  </si>
  <si>
    <t>DISJUNTOR TRIPOLAR DE 60 A 100-A</t>
  </si>
  <si>
    <t>INTERRUPTOR DIFERENCIAL RESIDUAL (D.R.) TETRAPOLAR DE 63A-30mA</t>
  </si>
  <si>
    <t>ELETROCALHA CH.Aº PRE ZN. FOGO "C" C/ABAS 50X50 MM S/TAMPA</t>
  </si>
  <si>
    <t>TAMPA DE ENCAIXE PARA ELETROCALHA DE 50 X 50 MM</t>
  </si>
  <si>
    <t>SUP0RTE VERTICAL P/CANTONEIRA 50 X 50 MM</t>
  </si>
  <si>
    <t>ELETRODUTO PVC FLEXÍVEL - MANGUEIRA CORRUGADA LEVE - DIAM. 32MM</t>
  </si>
  <si>
    <t>ELETRODUTO PVC FLEXÍVEL - MANGUEIRA CORRUGADA REFORÇADA - DIAM. 40MM</t>
  </si>
  <si>
    <t>ELETRODUTO PVC FLEXÍVEL - MANGUEIRA CORRUGADA REFORÇADA - DIAM. 50MM</t>
  </si>
  <si>
    <t>ELETRODUTO PVC FLEXÍVEL - MANGUEIRA CORRUGADA REFORÇADA - DIAM. 75MM</t>
  </si>
  <si>
    <t>ELETRODUTO DE PVC RIGIDO DIAMETRO 4"</t>
  </si>
  <si>
    <t>ELETRODUTO DE PVC RIGIDO DIAMETRO 1.1/2"</t>
  </si>
  <si>
    <t>ELETRODUTO EM AÇO GALVANIZADO A FOGO DIÂMETRO 3/4" - PESADO</t>
  </si>
  <si>
    <t>BRACADEIRA METALICA TIPO "U" DIAM. 3/4"</t>
  </si>
  <si>
    <t>LUMINÁRIA TIPO PROJETOR CIRCULAR ATÉ 200 W - BASE E-27</t>
  </si>
  <si>
    <t>ARMACAO SECUNDARIA LEVE 4 ELEMENTOS</t>
  </si>
  <si>
    <t>CABECOTE DE LIGA DE ALUMINIO DIAM. 1.1/2"</t>
  </si>
  <si>
    <t>CINTA DE AÇO GALVANIZADO DIAM. 190 MM</t>
  </si>
  <si>
    <t>HASTE CANTONEIRA 2,40 M C/CONECTOR</t>
  </si>
  <si>
    <t>ISOLADOR ROLDANA PORCELANA 76 X 79</t>
  </si>
  <si>
    <t>QUADRO DE DISTRIBUIÇÃO DE EMBUTIR EM PVC CB 12E - 80A</t>
  </si>
  <si>
    <t>CAIXA DE PASSAGEM 60 X 60 CM SEM TAMPA</t>
  </si>
  <si>
    <t>TAMPA EM CONCRETO ARMADO 25 MPA E=5CM PARA A CAIXA DE PASSAGEM 60X60CM</t>
  </si>
  <si>
    <t>CAIXA DE AREIA 40X40 CM FUNDO DE BRITA COM GRELHA METÁLICA FERRO CHATO PADRÃO GOINFRA</t>
  </si>
  <si>
    <t>CORPO CX. SIFONADA DIAM. 250 X 172 X 50</t>
  </si>
  <si>
    <t>CORPO CX. SIFONADA DIAM. 250 X 230 X 75</t>
  </si>
  <si>
    <t>VASO SANITÁRIO PARA P.N.E. SEM ABERTURA FRONTAL</t>
  </si>
  <si>
    <t>LAVATÓRIO MÉDIO SEM COLUNA</t>
  </si>
  <si>
    <t>ACO CA-50 A - 20,0 MM (3/4") - (OBRAS CIVIS)</t>
  </si>
  <si>
    <t>ACO CA-60 - 5,0 MM - (OBRAS CIVIS)</t>
  </si>
  <si>
    <t>ACO CA 50-A - 12,5 MM (1/2") - (OBRAS CIVIS)</t>
  </si>
  <si>
    <t>PORTA DE ENROLAR C/FERRAGENS</t>
  </si>
  <si>
    <t>Alvenaria  Mureta Atacadista</t>
  </si>
  <si>
    <t>((4,62*4)+(84,23*1,1*2))</t>
  </si>
  <si>
    <t>PISO EM CONCRETO DESEMPENADO ESPESSURA = 7 CM 1:2,5:3,5</t>
  </si>
  <si>
    <t>ESTRUTURA METALICA CONVENCIONAL EM AÇO TIPO USI SAC-300 COM FUNDO ANTICORROSIVO</t>
  </si>
  <si>
    <t>TERÇA METÁLICA 13 METROS - FABRICAÇÃO E INSTALAÇÃO DE TESOURA INTEIRA EM AÇO, INCLUSO IÇAMENTO</t>
  </si>
  <si>
    <t>SIFÃO METÁLICO PARA TANQUE DE 1 1/4" X 1 1/2"</t>
  </si>
  <si>
    <t>CURVA 45 GRAUS DIAMETRO 100 MM</t>
  </si>
  <si>
    <t>JOELHO 45 GRAUS DIAMETRO 75 MM</t>
  </si>
  <si>
    <t>L U V A S</t>
  </si>
  <si>
    <t>LUVA SIMPLES DIAMETRO 50 MM</t>
  </si>
  <si>
    <t>LUVA SIMPLES DIAM. 100 MM</t>
  </si>
  <si>
    <t>JOELHO 45 GRAUS DIAMETRO 50 MM</t>
  </si>
  <si>
    <t>TERMINAL DE VENTILACAO DIAMETRO 50 MM</t>
  </si>
  <si>
    <t>TE SANITARIO DIAMETRO 100 X 50 MM</t>
  </si>
  <si>
    <t>TE SANITARIO DIAMETRO 75 X 50 MM</t>
  </si>
  <si>
    <t>TORNEIRA DE PAREDE PARA PIA OU BEBEDOURO DIÂMETRO DE 1/2" E 3/4"</t>
  </si>
  <si>
    <t>REGISTRO DE GAVETA C/CANOPLA DIAMETRO 1.1/2"</t>
  </si>
  <si>
    <t>REGISTRO DE ESFERA DIAMETRO 1"</t>
  </si>
  <si>
    <t>REGISTRO DE ESFERA DIAMETRO 1.1/4"</t>
  </si>
  <si>
    <t>REGISTRO DE ESFERA DIAMETRO 2"</t>
  </si>
  <si>
    <t>LIGAÇÃO FLEXÍVEL PVC DIAM.1/2" (ENGATE)</t>
  </si>
  <si>
    <t>LUVA SOLDAVEL C/ROSCA DIAMETRO 25 X 3/4"</t>
  </si>
  <si>
    <t>BUCHA DE REDUCAO SOLDAVEL LONGA 50 X 25 mm</t>
  </si>
  <si>
    <t>CURVA 90 GRAUS SOLDAVEL DIAMETRO 50 mm</t>
  </si>
  <si>
    <t>LUVA SOLDAVEL DIAMETRO 50 mm</t>
  </si>
  <si>
    <t>TE REDUCAO 90 GRAUS SOLDAVEL 50 X 25 mm</t>
  </si>
  <si>
    <t>TE RED.SOLD.90GR.BUC.LATAO BOLSA CENT.25X25X1/2"</t>
  </si>
  <si>
    <t>TE 90 GR.SOLD.C/BUC.LATAO NA BOLSA CENT.25X25X3/4"</t>
  </si>
  <si>
    <t>BUCHA DE REDUCAO SOLDAVEL LONGA 60 X 25 mm</t>
  </si>
  <si>
    <t>CAIXA DAGUA POLIETILENO 500 LTS.C/TAMPA</t>
  </si>
  <si>
    <t>RES.METALICO TAÇA AÇO PATINÁVEL-V=15M3-COL.SEC.H=6M+FUNDAÇÃO+LOGOTIPO</t>
  </si>
  <si>
    <t>ADAPTAD.SOLD. C/FL.LIVRES P/CX.DAGUA 25X3/4"</t>
  </si>
  <si>
    <t>167+66,45+(4,5*5)+2,25+7,85+(3,27*3)+46,40+(4,5*5)+3,94+3,86+0,85</t>
  </si>
  <si>
    <t>ARGILA OU BARRO PARA ATERRO/REATERRO (COM TRANSPORTE ATE 10 KM)</t>
  </si>
  <si>
    <t>167+66,45+(4,5*5)+2,25+7,85+(3,27*3)+46,40+(4,5*5)+3,94+3,86+0,85+((92*2)+8)+(114,19+(22,2*7)+6+(31,92*3))</t>
  </si>
  <si>
    <t>COBERTURA COM TELHA CHAPA GALVANIZADA TRAPEZOIDAL 0,5 MM COM ACESSÓRIOS</t>
  </si>
  <si>
    <t>PIA MÁRMORE/GRANITO SINTÉTICO 1,20X0,54 M</t>
  </si>
  <si>
    <t>BANCADA DE ARDOSIA POLIDA</t>
  </si>
  <si>
    <t>ORÇAMENTO: CEASA CATALÃO</t>
  </si>
  <si>
    <t>ARCO VIÁRIO, KM 2, ZONA RURAL, CATALÃO - GO</t>
  </si>
  <si>
    <t>PORTA LISA 70x210 C/PORTAL E ALISAR S/FERRAGENS</t>
  </si>
  <si>
    <t>ACO CA-50A - 6,3 MM (1/4") - (OBRAS CIVIS)</t>
  </si>
  <si>
    <t xml:space="preserve">PLANTIO GRAMA ESMERALDA PLACAC/ M.O. IRRI., ADUBO, TERRA VEGETAL (O.C.) A&lt;11.000M2 </t>
  </si>
  <si>
    <t>SUMIDOURO CIRCULAR, EM CONCRETO PRÉ-MOLDADO, DIÂMETRO INTERNO = 2,38 M, ALTURA INTERNA = 2,50 M, ÁREA DE INFILTRAÇÃO: 21,3 M² (PARA 8 CONTRI
BUINTES). AF_12/2020</t>
  </si>
  <si>
    <t>TANQUE SÉPTICO CIRCULAR, EM CONCRETO PRÉ-MOLDADO, DIÂMETRO INTERNO = 2,38 M, ALTURA INTERNA = 3,0 M, VOLUME ÚTIL: 12234,2 L (PARA 86 CONTRIB
UINTES). AF_12/2020</t>
  </si>
  <si>
    <t>TANQUE SÉPTICO CIRCULAR, EM CONCRETO PRÉ-MOLDADO, DIÂMETRO INTERNO = 1,88 M, ALTURA INTERNA = 2,50 M, VOLUME ÚTIL: 6245,8 L (PARA 32 CONTRIB
UINTES). AF_12/2020</t>
  </si>
  <si>
    <t>TANQUE SÉPTICO CIRCULAR, EM CONCRETO PRÉ-MOLDADO, DIÂMETRO INTERNO = 1,40 M, ALTURA INTERNA = 2,50 M, VOLUME ÚTIL: 3463,6 L (PARA 13 CONTRIB
UINTES). AF_12/2020</t>
  </si>
  <si>
    <t>TANQUE SÉPTICO CIRCULAR, EM CONCRETO PRÉ-MOLDADO, DIÂMETRO INTERNO = 2,38 M, ALTURA INTERNA = 2,50 M, VOLUME ÚTIL: 10009,8 L (PARA 69 CONTRI
BUINTES). AF_12/2020</t>
  </si>
  <si>
    <t>TANQUE SÉPTICO CIRCULAR, EM CONCRETO PRÉ-MOLDADO, DIÂMETRO INTERNO = 1,10 M, ALTURA INTERNA = 2,50 M, VOLUME ÚTIL: 2138,2 L (PARA 5 CONTRIBU
INTES). AF_12/2020</t>
  </si>
  <si>
    <t>SUMIDOURO CIRCULAR, EM CONCRETO PRÉ-MOLDADO, DIÂMETRO INTERNO = 2,38 M, ALTURA INTERNA = 3,0 M, ÁREA DE INFILTRAÇÃO: 25 M² (PARA 10 CONTRIBU
INTES). AF_12/2020</t>
  </si>
  <si>
    <t>SUMIDOURO CIRCULAR, EM CONCRETO PRÉ-MOLDADO, DIÂMETRO INTERNO = 2,88 M, ALTURA INTERNA = 3,0 M, ÁREA DE INFILTRAÇÃO: 31,4 M² (PARA 12 CONTRI
BUINTES). AF_12/2020</t>
  </si>
  <si>
    <t>SUMIDOURO COM DIÂMETRO=1,60M E PROFUNDIDADE=4,50 M</t>
  </si>
  <si>
    <t>TELA DE ACO SOLDADA NERVURADA, CA-60, Q-92, (1,48 KG/M2), DIAMETRO DO FIO = 4,2 MM,LARGURA = 2,45 X 60 M DE COMPRIMENTO, ESPACAMENTO DA MALHA = 15 X 15 CM</t>
  </si>
  <si>
    <t>CONCRETO BETUM.USINADO À QUENTE-CBUQ (AC/BC) (PAV.URB.)</t>
  </si>
  <si>
    <t>IMPRIMAÇÃO (PAV.URB.)</t>
  </si>
  <si>
    <t>______________________________________________________</t>
  </si>
  <si>
    <t>ESCAV., CARGA E TRANSP. 1ª CATEG. C/ CARREGADEIRA P/ PEQUENOS MOVIMENTOS DE TERRA - (DT: 201 A400M)</t>
  </si>
  <si>
    <t>COMPACTAÇÃO A 100% DO PROCTOR NORMAL</t>
  </si>
  <si>
    <t>23.1</t>
  </si>
  <si>
    <t>23.5</t>
  </si>
  <si>
    <t>23.6</t>
  </si>
  <si>
    <t>23.8</t>
  </si>
  <si>
    <t>23.9</t>
  </si>
  <si>
    <t>23.10</t>
  </si>
  <si>
    <t>PLANTIO GRAMA BATATAIS PLACA C/ M.O. IRRIG.ADUBO,TER.VEG.(OC) A&lt;11.000M2</t>
  </si>
  <si>
    <t>Área administrativa da Feira de Varejo</t>
  </si>
  <si>
    <t xml:space="preserve">Câmara Fria </t>
  </si>
  <si>
    <t>Guarita</t>
  </si>
  <si>
    <t>Feira de Varejo</t>
  </si>
  <si>
    <t>Box Atacadista</t>
  </si>
  <si>
    <t>Área da Feira de Varejo</t>
  </si>
  <si>
    <t xml:space="preserve">Área Box Atacadista </t>
  </si>
  <si>
    <t xml:space="preserve">Guarita </t>
  </si>
  <si>
    <t>3.1</t>
  </si>
  <si>
    <t>3.2</t>
  </si>
  <si>
    <t>3.3</t>
  </si>
  <si>
    <t>4.10</t>
  </si>
  <si>
    <t>4.11</t>
  </si>
  <si>
    <t>4.12</t>
  </si>
  <si>
    <t>Argila ou Barro para o aterro do Box Atacadista</t>
  </si>
  <si>
    <t>Área do Box Atacadista</t>
  </si>
  <si>
    <t>Empolamento</t>
  </si>
  <si>
    <t>ATERRO INTERNO SEM APILOAM.C/TR.EM CARRINHO MÃO</t>
  </si>
  <si>
    <t>APILOAMENTO</t>
  </si>
  <si>
    <t>Área (m2)</t>
  </si>
  <si>
    <t>Verificar Projeto Estrutural</t>
  </si>
  <si>
    <t>(42*5)+(36*5)+(6*3)+(142*7)+(12*5)+(8*5)</t>
  </si>
  <si>
    <t>Blocos (0,60x0,60x0,55)</t>
  </si>
  <si>
    <t>Blocos (0,60x0,60x0,65)</t>
  </si>
  <si>
    <t>Blocos (0,70x0,70x0,55)</t>
  </si>
  <si>
    <t>Blocos (1,50x0,60x0,60)</t>
  </si>
  <si>
    <t>Área de Forma Conforme Projeto estrutural</t>
  </si>
  <si>
    <t>Utilização</t>
  </si>
  <si>
    <t>7.20</t>
  </si>
  <si>
    <t>7.21</t>
  </si>
  <si>
    <t>7.22</t>
  </si>
  <si>
    <t>7.23</t>
  </si>
  <si>
    <t>7.24</t>
  </si>
  <si>
    <t>7.32</t>
  </si>
  <si>
    <t>7.33</t>
  </si>
  <si>
    <t>7.34</t>
  </si>
  <si>
    <t>7.35</t>
  </si>
  <si>
    <t>7.36</t>
  </si>
  <si>
    <t>7.38</t>
  </si>
  <si>
    <t>7.39</t>
  </si>
  <si>
    <t>7.41</t>
  </si>
  <si>
    <t>7.42</t>
  </si>
  <si>
    <t>7.45</t>
  </si>
  <si>
    <t>7.48</t>
  </si>
  <si>
    <t>7.51</t>
  </si>
  <si>
    <t>7.52</t>
  </si>
  <si>
    <t>7.53</t>
  </si>
  <si>
    <t>7.55</t>
  </si>
  <si>
    <t>7.56</t>
  </si>
  <si>
    <t>7.58</t>
  </si>
  <si>
    <t>7.61</t>
  </si>
  <si>
    <t>7.62</t>
  </si>
  <si>
    <t>7.63</t>
  </si>
  <si>
    <t>7.65</t>
  </si>
  <si>
    <t>7.66</t>
  </si>
  <si>
    <t>7.67</t>
  </si>
  <si>
    <t>7.68</t>
  </si>
  <si>
    <t>7.69</t>
  </si>
  <si>
    <t>7.70</t>
  </si>
  <si>
    <t>7.72</t>
  </si>
  <si>
    <t>7.75</t>
  </si>
  <si>
    <t>7.83</t>
  </si>
  <si>
    <t>7.86</t>
  </si>
  <si>
    <t>7.87</t>
  </si>
  <si>
    <t>7.88</t>
  </si>
  <si>
    <t>7.89</t>
  </si>
  <si>
    <t>7.90</t>
  </si>
  <si>
    <t>7.91</t>
  </si>
  <si>
    <t>7.92</t>
  </si>
  <si>
    <t>7.94</t>
  </si>
  <si>
    <t>7.95</t>
  </si>
  <si>
    <t>7.96</t>
  </si>
  <si>
    <t>7.97</t>
  </si>
  <si>
    <t>7.102</t>
  </si>
  <si>
    <t>7.106</t>
  </si>
  <si>
    <t>7.112</t>
  </si>
  <si>
    <t>7.113</t>
  </si>
  <si>
    <t>7.114</t>
  </si>
  <si>
    <t>7.119</t>
  </si>
  <si>
    <t>7.120</t>
  </si>
  <si>
    <t>7.121</t>
  </si>
  <si>
    <t>7.126</t>
  </si>
  <si>
    <t>7.136</t>
  </si>
  <si>
    <t>7.137</t>
  </si>
  <si>
    <t>7.140</t>
  </si>
  <si>
    <t>Muro de Arrimo do Box Atacadista</t>
  </si>
  <si>
    <t>(4,62*4)+(84,12*1,1*2)</t>
  </si>
  <si>
    <t xml:space="preserve">Conforme projeto estrutural </t>
  </si>
  <si>
    <t>Quantidade em Kg</t>
  </si>
  <si>
    <t>Pilares para cobertura da Guarita</t>
  </si>
  <si>
    <t>Quantitativo conforme projeto estrutural da Área de Varejo</t>
  </si>
  <si>
    <t>19906,78+1250,1+191,90</t>
  </si>
  <si>
    <t>Cobertura Guarita</t>
  </si>
  <si>
    <t xml:space="preserve"> Composição 1</t>
  </si>
  <si>
    <t xml:space="preserve"> Composição 1 - TERÇA METÁLICA 13 METROS - FABRICAÇÃO E INSTALAÇÃO DE TESOURA INTEIRA EM AÇO</t>
  </si>
  <si>
    <t>COBERTURA COM TELHA ONDULADA OU EQUIV.</t>
  </si>
  <si>
    <t>13.1</t>
  </si>
  <si>
    <t>13.2</t>
  </si>
  <si>
    <t>13.6</t>
  </si>
  <si>
    <t>Calha para o Box Atacadista e Feira de Varejo</t>
  </si>
  <si>
    <t>((0,2+0,3+0,25)*(68,15+68,15))+((0,2+0,3+0,25)*(70+70))</t>
  </si>
  <si>
    <t>Calha para a Câmara Fria e Guarita</t>
  </si>
  <si>
    <t>10,30+10,30+7,81+7,81</t>
  </si>
  <si>
    <t>Rufo para Câmara Fria</t>
  </si>
  <si>
    <t>10,30+8,40+8,40</t>
  </si>
  <si>
    <t>70*36,70</t>
  </si>
  <si>
    <t>68,15*26</t>
  </si>
  <si>
    <t>13,5*8,40</t>
  </si>
  <si>
    <t>(68,15+68,15+26+26)</t>
  </si>
  <si>
    <t>(70+70+36,7+36,7)</t>
  </si>
  <si>
    <t>(13,5+13,5+8,4+8,4)</t>
  </si>
  <si>
    <t>Câmara Fria</t>
  </si>
  <si>
    <t>Copa</t>
  </si>
  <si>
    <t>W.C. Feminino</t>
  </si>
  <si>
    <t>W.C. Masculino</t>
  </si>
  <si>
    <t xml:space="preserve">Administração </t>
  </si>
  <si>
    <t>Faturamento / contabilidade</t>
  </si>
  <si>
    <t>15.1</t>
  </si>
  <si>
    <t>15.3</t>
  </si>
  <si>
    <t>15.4</t>
  </si>
  <si>
    <t>15.6</t>
  </si>
  <si>
    <t>Atendimento Lanchonete</t>
  </si>
  <si>
    <t>(2,9*1,1)</t>
  </si>
  <si>
    <t>(3,85*2,7)</t>
  </si>
  <si>
    <t>(1,5*2,1)+(2*2,1)</t>
  </si>
  <si>
    <t xml:space="preserve">Copa </t>
  </si>
  <si>
    <t xml:space="preserve">Depósito </t>
  </si>
  <si>
    <t>Administração</t>
  </si>
  <si>
    <t>Faturamento/ Contabilidade</t>
  </si>
  <si>
    <t>Quatidade</t>
  </si>
  <si>
    <t>Área de Serviço</t>
  </si>
  <si>
    <t xml:space="preserve">W.C. Masculino </t>
  </si>
  <si>
    <t>0,60*0,60</t>
  </si>
  <si>
    <t>Portão Entrada Guarita</t>
  </si>
  <si>
    <t>PNE Feminino</t>
  </si>
  <si>
    <t>PNE Masculino</t>
  </si>
  <si>
    <t>W.C. Feminino porta externa</t>
  </si>
  <si>
    <t>W.C. Masculino porta externa</t>
  </si>
  <si>
    <t>Área das Portas</t>
  </si>
  <si>
    <t>(0,60*1,80)</t>
  </si>
  <si>
    <t>(0,80*2,10)</t>
  </si>
  <si>
    <t>3*0,60</t>
  </si>
  <si>
    <t>2*0,80</t>
  </si>
  <si>
    <t>2,90+2,10</t>
  </si>
  <si>
    <t>Área de serviço / Copa</t>
  </si>
  <si>
    <t xml:space="preserve">Área externa - Tanque </t>
  </si>
  <si>
    <t>3,42*2</t>
  </si>
  <si>
    <t>(1,50+2,00)</t>
  </si>
  <si>
    <t xml:space="preserve">Banheiro Guarita </t>
  </si>
  <si>
    <t>Box Atacadista (Somente área das pias 3,30 *1,50)</t>
  </si>
  <si>
    <t>16*3,30</t>
  </si>
  <si>
    <t>Área de Emboço - Área de revestimento Cerâmico</t>
  </si>
  <si>
    <t>Área Emboço</t>
  </si>
  <si>
    <t>Área Revestimento Cerâmico</t>
  </si>
  <si>
    <t>Depósito Guarita</t>
  </si>
  <si>
    <t>Circulação Guarita</t>
  </si>
  <si>
    <t>Monitoramento Guarita</t>
  </si>
  <si>
    <t>18.1</t>
  </si>
  <si>
    <t>Administrativo Feira de Varejo</t>
  </si>
  <si>
    <t>38,07+17,45+3,00+17,45+3,00+79,92+38,19</t>
  </si>
  <si>
    <t>40,52+35</t>
  </si>
  <si>
    <t>Boxs Atacadista</t>
  </si>
  <si>
    <t>32*32</t>
  </si>
  <si>
    <t>Calçada e rampa do Box Atacadista</t>
  </si>
  <si>
    <t>Calçada contornando o terreno (1,20)</t>
  </si>
  <si>
    <t>Calçada contornando a Guarita (1,00)</t>
  </si>
  <si>
    <t>7,32+7,32+6,33+6,33</t>
  </si>
  <si>
    <t>(99,94+82,08+38,96+19,04+41,79+4,08+14,17+3,88+5,28+68,39+80,91+1,93+26,87+ 2,43+ 58,37) * 1,2</t>
  </si>
  <si>
    <t>(9*16,00*2)+(7*19,70*2)</t>
  </si>
  <si>
    <t>Administrativo Feira de Varejo - Circulação</t>
  </si>
  <si>
    <t>16,70-(0,80+0,80+0,80+0,80)</t>
  </si>
  <si>
    <t>Administrativo Feira de Varejo - Recepção</t>
  </si>
  <si>
    <t>15,40-0,80</t>
  </si>
  <si>
    <t>Administrativo Feira de Varejo - Faturamento/ Contabilidade</t>
  </si>
  <si>
    <t>16,40-0,80</t>
  </si>
  <si>
    <t>Administrativo Feira de Varejo - Depósito</t>
  </si>
  <si>
    <t>14,40-0,80-0,80</t>
  </si>
  <si>
    <t>Administrativo Feira de Varejo - Área Externa</t>
  </si>
  <si>
    <t>(28,98-0,80)+4,50+(28,98-2,40)+(4,50-0,80)+(20,68-0,80)+(21,15-0,80-0,80)+ (4,50-0,80)</t>
  </si>
  <si>
    <t>Feira de Varejo - Pilares</t>
  </si>
  <si>
    <t>(1,50*11)+(2,00*2)+(2,00*13)</t>
  </si>
  <si>
    <t>Guarita - Depósito</t>
  </si>
  <si>
    <t>Guarita - Circulação</t>
  </si>
  <si>
    <t>Guarita - Monitoramento</t>
  </si>
  <si>
    <t>10,09-0,80</t>
  </si>
  <si>
    <t>4,64-0,80-0,80</t>
  </si>
  <si>
    <t>10,19-0,70-0,80</t>
  </si>
  <si>
    <t>Porta de 0,70 x 2,10</t>
  </si>
  <si>
    <t xml:space="preserve">PNE Feminino </t>
  </si>
  <si>
    <t>Portas de 0,70 x 2,10</t>
  </si>
  <si>
    <t>8,00 * 3,00</t>
  </si>
  <si>
    <t>1,00 *3,00</t>
  </si>
  <si>
    <t>0,15+0,10</t>
  </si>
  <si>
    <t xml:space="preserve">(99,94+82,08+38,96+19,04+41,79+4,08+14,17+3,88+5,28+68,39+80,91+1,93+26,87+ 2,43+ 58,37) </t>
  </si>
  <si>
    <t>Meio Fio Contornando o Terreno</t>
  </si>
  <si>
    <t>(26+16,02+5,50+47,50+5,50+13,14+26,02+14,16+7,00+48,00+7,00+14,16)</t>
  </si>
  <si>
    <t>(7,32+7,32+6,33+6,33)</t>
  </si>
  <si>
    <t>(3,11+4,00+2,50+3,11+4,00+2,50)</t>
  </si>
  <si>
    <t>Meio Fio Contornando a Guarita</t>
  </si>
  <si>
    <t>Meio Fio Contornando a Feira de Varejo</t>
  </si>
  <si>
    <t>Meio Fio na entrada da rampa dos Boxs Atacadista</t>
  </si>
  <si>
    <t>(64,15*6,03*2)+(16,00*6,03*2)+(7,92+7,92)</t>
  </si>
  <si>
    <t>(3,85*2,75)*32</t>
  </si>
  <si>
    <t xml:space="preserve">   Desconto de portas dos Boxs</t>
  </si>
  <si>
    <t>(28,97*3,90*2)+(20,60*3,90*2)+(4,50*3,9*4)+(0,80*28,97*2)+(0,80*20,60*2)+(4,50*0,80*4)</t>
  </si>
  <si>
    <t xml:space="preserve">   Desconto de Portas</t>
  </si>
  <si>
    <t>(0,80*2,10*6)+(2,4*2,1)</t>
  </si>
  <si>
    <t>(0,60*0,60*8)+(2,10*1,00*6)+(1,50*1,00*4)+(2,90*1,00*2)</t>
  </si>
  <si>
    <t>(5,5*26)</t>
  </si>
  <si>
    <t>(1,50*2,10)+(2,00*2,10)</t>
  </si>
  <si>
    <t>(3,30*2,80*2)+(3,17*2,80*3)</t>
  </si>
  <si>
    <t>(10,30*4,30*2)+(7,80*4,30*2)+(2,71*2)+(10,30*0,80)+(10,30*2,80)+(10,30*2,80)</t>
  </si>
  <si>
    <t>(3,60*3,50*2)+(3,60*6,00*2)+(0,80*6,00*2)+(0,80*3,50*2)</t>
  </si>
  <si>
    <t>(1,35*2,10)+(0,70*1,00*2)+(1,50*1,00)</t>
  </si>
  <si>
    <t>EMASSAMENTO ACRÍLICO 1 DEMÃO EM PAREDE</t>
  </si>
  <si>
    <t>(0,80+0,80+0,80+0,80)*2,10</t>
  </si>
  <si>
    <t>((2,10*1,00)+(0,80*2,10))</t>
  </si>
  <si>
    <t>((2,40*2,10)+(1,50*1,00))</t>
  </si>
  <si>
    <t>((0,80*2,10*2)+(1,50*1,00))</t>
  </si>
  <si>
    <t>((39,14*9)+(23,27*14))</t>
  </si>
  <si>
    <t xml:space="preserve">   Desconto do revestimento cerâmico nas pias</t>
  </si>
  <si>
    <t>((3,85*2,75)*32)</t>
  </si>
  <si>
    <t>(16*3,3*1,5)</t>
  </si>
  <si>
    <t>Subtotal</t>
  </si>
  <si>
    <t>(2,00*0,60)+(1,5*0,60)</t>
  </si>
  <si>
    <t>0,80*2,10</t>
  </si>
  <si>
    <t>(1,35*2,10)+(0,80*2,10*2)</t>
  </si>
  <si>
    <t>(0,80*2,10)+(0,70*2,10)+(0,70*1,00*2)+(1,50*1,00)</t>
  </si>
  <si>
    <t>Circulação - Administração Feira de Varejo - Parede Interna</t>
  </si>
  <si>
    <t>Administração  - Administração Feira de Varejo - Parede Interna</t>
  </si>
  <si>
    <t>Recepção  - Administração Feira de Varejo - Parede Interna</t>
  </si>
  <si>
    <t>Faturamento/ Contabilidade - Administração Feira de Varejo - Parede Interna</t>
  </si>
  <si>
    <t>Depósito - Administração Feira de Varejo - Parede Interna</t>
  </si>
  <si>
    <t>Box Atacadista parede Interna - Parede Interna</t>
  </si>
  <si>
    <t>Câmara Fria  - Parede Interna</t>
  </si>
  <si>
    <t>Guarita - Depósito - Parede Interna</t>
  </si>
  <si>
    <t>Guarita - Circulação  - Parede Interna</t>
  </si>
  <si>
    <t>Guarita - Monitoramento - Parede Interna</t>
  </si>
  <si>
    <t>Box Atacadista  - Parede Externa</t>
  </si>
  <si>
    <t>Feira de Varejo - Parede Externa</t>
  </si>
  <si>
    <t>Pilares da Feira de Varejo 0,50*0,50, h= 2,5 - Parede Externa</t>
  </si>
  <si>
    <t>Câmara Fria - Parede Externa</t>
  </si>
  <si>
    <t>Guarita  - Parede Externa</t>
  </si>
  <si>
    <t>Item 22.4</t>
  </si>
  <si>
    <t xml:space="preserve">Área de Serviço - teto </t>
  </si>
  <si>
    <t xml:space="preserve">Copa - teto </t>
  </si>
  <si>
    <t xml:space="preserve">Circulação - teto </t>
  </si>
  <si>
    <t xml:space="preserve">W.C. - teto </t>
  </si>
  <si>
    <t xml:space="preserve">Administração - teto </t>
  </si>
  <si>
    <t xml:space="preserve">Recepção - teto </t>
  </si>
  <si>
    <t xml:space="preserve">Faturamento / contabilidade - teto </t>
  </si>
  <si>
    <t xml:space="preserve">Depósito - teto </t>
  </si>
  <si>
    <t xml:space="preserve">Cozinha - teto </t>
  </si>
  <si>
    <t xml:space="preserve">Atendimento - teto </t>
  </si>
  <si>
    <t>WC. Fem. - teto</t>
  </si>
  <si>
    <t>PNE - Fem. - teto</t>
  </si>
  <si>
    <t>WC. Masc. - teto</t>
  </si>
  <si>
    <t>PNE - Masc. - teto</t>
  </si>
  <si>
    <t xml:space="preserve">Câmara fria - teto </t>
  </si>
  <si>
    <t>Depósito Guarita - teto</t>
  </si>
  <si>
    <t>WC Guarita - teto</t>
  </si>
  <si>
    <t>Circulação Guarita - teto</t>
  </si>
  <si>
    <t>Monitoramento Guarita - teto</t>
  </si>
  <si>
    <t xml:space="preserve">Muro de Arrimo Box Atacadista </t>
  </si>
  <si>
    <t>((84,22+84,22)*1,1))+(3,08*4)</t>
  </si>
  <si>
    <t>Portas de 70 x 2,10</t>
  </si>
  <si>
    <t xml:space="preserve">Feira de Varejo Conforme projeto estrutural </t>
  </si>
  <si>
    <t>Fechamento Lateral com telhas conforme item 13.6</t>
  </si>
  <si>
    <t xml:space="preserve">Cobertura Guarita </t>
  </si>
  <si>
    <t>68,15x26,00</t>
  </si>
  <si>
    <t>13,50x8,40</t>
  </si>
  <si>
    <t>(13,5*3*6)+(12*3*6)+(5*10*6)+(5*9*6)</t>
  </si>
  <si>
    <t>Marcação dos "lotes" na Feira de Varejo</t>
  </si>
  <si>
    <t>No canteiro da entrada no Box Atacadista</t>
  </si>
  <si>
    <t xml:space="preserve">No Canteiro ao lado da Câmara Fria </t>
  </si>
  <si>
    <t>15,74*4</t>
  </si>
  <si>
    <t xml:space="preserve">Plantio de Grama nos taludes </t>
  </si>
  <si>
    <t>732,17+569,90+51,03+120,56+149,95+242,08+336,65+137,55</t>
  </si>
  <si>
    <t>Contorno do Ceasa</t>
  </si>
  <si>
    <t xml:space="preserve">Placa de Inauguração </t>
  </si>
  <si>
    <t>Copa - Feira de Varejo</t>
  </si>
  <si>
    <t xml:space="preserve">Cozinha - Feira de Varejo </t>
  </si>
  <si>
    <t>0,60*1,50</t>
  </si>
  <si>
    <t>Fatura/ Contabilidade</t>
  </si>
  <si>
    <t>2,10*0,40</t>
  </si>
  <si>
    <t xml:space="preserve">Atendimento Lanchonete - Feira de Varejo </t>
  </si>
  <si>
    <t>2,9*0,30</t>
  </si>
  <si>
    <t>0,70*2,6</t>
  </si>
  <si>
    <t>suportes para bancadas</t>
  </si>
  <si>
    <t>(32*2)+2+2+2+2+3+3+2+2+2</t>
  </si>
  <si>
    <t>Pia do W.C. Feminino - Feira do Varejo</t>
  </si>
  <si>
    <t>Pia do W.C. Masculino - Feira do Varejo</t>
  </si>
  <si>
    <t>Pia dd WC - Guarita</t>
  </si>
  <si>
    <t>2,20*0,60</t>
  </si>
  <si>
    <t>3,28*0,60</t>
  </si>
  <si>
    <t>1,50*0,60</t>
  </si>
  <si>
    <t>(99,94+82,08+38,96+19,04+41,79+4,08+14,17+3,88+5,28+68,39+80,91+1,93+26,87+   2,43+58,37)</t>
  </si>
  <si>
    <t>(26,00+16,02+5,50+47,50+5,50+13,14+26,02+14,16+7,00+48,00+7,00+14,16)</t>
  </si>
  <si>
    <t>3,11+4,00+2,50+3,11+4,00+2,50</t>
  </si>
  <si>
    <t>Letras para entrada da Feira de Varejo, Box atacadista e Guarita</t>
  </si>
  <si>
    <t>6+6+3</t>
  </si>
  <si>
    <t>Concreto Fundação conforme Projeto Estrutural - Bloco Atacadista</t>
  </si>
  <si>
    <t>Concreto Fundação conforme Projeto Estrutural - Câmara Fria</t>
  </si>
  <si>
    <t>Concreto Fundação conforme Projeto Estrutural - Guarita</t>
  </si>
  <si>
    <t>Concreto Fundação conforme Projeto Estrutural - Feira de Varejo</t>
  </si>
  <si>
    <t>Aço fundação conforme Projeto Estrutural - Bloco Atacadista</t>
  </si>
  <si>
    <t>377,1+669,67</t>
  </si>
  <si>
    <t>109,4+437,36</t>
  </si>
  <si>
    <t>Aço fundação conforme Projeto Estrutural - Câmara Fria</t>
  </si>
  <si>
    <t>56,59+56,3</t>
  </si>
  <si>
    <t>36,96+22,6</t>
  </si>
  <si>
    <t>Aço Fundação conforme Projeto Estrutural - Feira de Varejo</t>
  </si>
  <si>
    <t>880,59+41</t>
  </si>
  <si>
    <t>Aço fundação conforme Projeto Estrutural - Feira de Varejo</t>
  </si>
  <si>
    <t>Aço fundação conforme Projeto Estrutural - Feira de Varejo  - Administrativo</t>
  </si>
  <si>
    <t>Aço Fundação conforme Projeto Estrutural - Feira de Varejo - Administrativo</t>
  </si>
  <si>
    <t xml:space="preserve">Concreto Fundação conforme Projeto Estrutural - Feira de Varejo - Administrativo </t>
  </si>
  <si>
    <t>Aço Fundação conforme Projeto Estrutural -Guarita</t>
  </si>
  <si>
    <t>Aço fundação conforme Projeto Estrutural - Guarita</t>
  </si>
  <si>
    <t>Forma - Fundação conforme Projeto Estrutural - Bloco Atacadista</t>
  </si>
  <si>
    <t xml:space="preserve">Forma - Fundação conforme Projeto Estrutural - Câmara Fria </t>
  </si>
  <si>
    <t>Forma - Fundação conforme Projeto Estrutural - Guarita</t>
  </si>
  <si>
    <t>Forma - Fundação conforme Projeto Estrutural - Feira de Varejo</t>
  </si>
  <si>
    <t>Forma - Fundação conforme Projeto Estrutural - Feira de Varejo - Administrativo</t>
  </si>
  <si>
    <t>Largura da Esquadria</t>
  </si>
  <si>
    <t>Porta 70 x 2,10 - Verga</t>
  </si>
  <si>
    <t>Porta 1,50 x 2,10 - Verga</t>
  </si>
  <si>
    <t>Porta 2,00x 2,10 - Verga</t>
  </si>
  <si>
    <t>Porta 2,40x 2,10 - Verga</t>
  </si>
  <si>
    <t xml:space="preserve">Janelas 0,60 x 0,60 - Verga e Contraverga </t>
  </si>
  <si>
    <t xml:space="preserve">Janelas 0,70 x 1,00 - Verga e Contraverga </t>
  </si>
  <si>
    <t xml:space="preserve">Janelas 1,50 x 1,00 - Verga e Contraverga </t>
  </si>
  <si>
    <t xml:space="preserve">Janelas 2,10 x 1,00 - Verga e Contraverga </t>
  </si>
  <si>
    <t xml:space="preserve">Janelas 2,90 x 1,00 - Verga e Contraverga </t>
  </si>
  <si>
    <t>Forma - Pilares conforme Projeto Estrutural - Box Atacadista</t>
  </si>
  <si>
    <t>Forma - Vigas conforme Projeto Estrutural - Box Atacadista</t>
  </si>
  <si>
    <t>5.8</t>
  </si>
  <si>
    <t>Forma - Vigas conforme Projeto Estrutural - Câmara Fria</t>
  </si>
  <si>
    <t>Forma - Pilares conforme Projeto Estrutural - Câmara Fria</t>
  </si>
  <si>
    <t>Forma - Vigas conforme Projeto Estrutural - Guarita</t>
  </si>
  <si>
    <t>Forma - Pilares conforme Projeto Estrutural - Guarita</t>
  </si>
  <si>
    <t>8,75+5,5+2,29</t>
  </si>
  <si>
    <t>72,02+96,95+40,34</t>
  </si>
  <si>
    <t>Forma - Vigas conforme Projeto Estrutural - Feira  de Varejo</t>
  </si>
  <si>
    <t>Forma - Pilares conforme Projeto Estrutural - Feira  de Varejo</t>
  </si>
  <si>
    <t>116,68+47,06</t>
  </si>
  <si>
    <t>124,38+40,34</t>
  </si>
  <si>
    <t>Aço Viga conforme Projeto Estrutural - Box Atacadista</t>
  </si>
  <si>
    <t>Aço Pilar conforme Projeto Estrutural - Box Atacadista</t>
  </si>
  <si>
    <t xml:space="preserve">Aço Viga conforme Projeto Estrutural - Câmara Fria </t>
  </si>
  <si>
    <t>Aço Pilar conforme Projeto Estrutural - Câmara Fria</t>
  </si>
  <si>
    <t>Aço Viga conforme Projeto Estrutural - Guarita</t>
  </si>
  <si>
    <t>Aço Pilar conforme Projeto Estrutural - Guarita</t>
  </si>
  <si>
    <t>Aço Viga conforme Projeto Estrutural - Feira de Varejo Administrativo</t>
  </si>
  <si>
    <t>Aço Pilar conforme Projeto Estrutural - Feira de Varejo Administrativo</t>
  </si>
  <si>
    <t>246,4+106,3</t>
  </si>
  <si>
    <t>135,9+105,4+40,8</t>
  </si>
  <si>
    <t>176+40,8</t>
  </si>
  <si>
    <t>Concreto Viga conforme Projeto Estrutural - Box Atacadista</t>
  </si>
  <si>
    <t>Concreto Pilar conforme Projeto Estrutural - Box Atacadista</t>
  </si>
  <si>
    <t xml:space="preserve">Concreto Viga conforme Projeto Estrutural - Câmara Fria </t>
  </si>
  <si>
    <t>Concreto Pilar conforme Projeto Estrutural - Câmara Fria</t>
  </si>
  <si>
    <t>Concreto Viga conforme Projeto Estrutural - Feira de Varejo Administrativo</t>
  </si>
  <si>
    <t>Concreto Pilar conforme Projeto Estrutural - Feira de Varejo Administrativo</t>
  </si>
  <si>
    <t>Concreto Viga conforme Projeto Estrutural - Guarita</t>
  </si>
  <si>
    <t>Concreto Pilar conforme Projeto Estrutural - Guarita</t>
  </si>
  <si>
    <t>6,85+2,77</t>
  </si>
  <si>
    <t>6,59+2,29</t>
  </si>
  <si>
    <t>Conforme Item 5.8</t>
  </si>
  <si>
    <t xml:space="preserve">Conforme Projeto Estrutural - Guarita </t>
  </si>
  <si>
    <t>Conforme Projeto Estrutural - Câmara Fria</t>
  </si>
  <si>
    <t>Conforme Projeto Estrutural - Feira de Varejo Administração</t>
  </si>
  <si>
    <t>130,38+93,03</t>
  </si>
  <si>
    <t xml:space="preserve">Área da Feira Atacadista - lotes </t>
  </si>
  <si>
    <t>REGISTRO DE ESFERA DIAMETRO 3/4"</t>
  </si>
  <si>
    <t>7.142</t>
  </si>
  <si>
    <t>TUBO SOLDAVEL PVC MARROM DIAMETRO 20 mm</t>
  </si>
  <si>
    <t>JOELHO 90 GRAUS SOLDAVEL DIAMETRO 20 MM</t>
  </si>
  <si>
    <t>LUVA SOLDAVEL DIAMETRO 20 mm</t>
  </si>
  <si>
    <t>VÁLVULA DE DESCARGA PARA P.N.E. COM ACABAMENTO CROMADO ANTIVANDALISMO</t>
  </si>
  <si>
    <t>PADRÃO TRIFASICO 35 MM H=7 METROS</t>
  </si>
  <si>
    <t>6.74</t>
  </si>
  <si>
    <t>7.143</t>
  </si>
  <si>
    <t>7.144</t>
  </si>
  <si>
    <t>7.145</t>
  </si>
  <si>
    <t>7.146</t>
  </si>
  <si>
    <t>16.1</t>
  </si>
  <si>
    <t>16.2</t>
  </si>
  <si>
    <t>16.3</t>
  </si>
  <si>
    <t>16.4</t>
  </si>
  <si>
    <t>18.2</t>
  </si>
  <si>
    <t>18.3</t>
  </si>
  <si>
    <t>18.4</t>
  </si>
  <si>
    <t>18.5</t>
  </si>
  <si>
    <t>18.6</t>
  </si>
  <si>
    <t>21.5</t>
  </si>
  <si>
    <t>21.6</t>
  </si>
  <si>
    <t>21.7</t>
  </si>
  <si>
    <t>21.8</t>
  </si>
  <si>
    <t>21.9</t>
  </si>
  <si>
    <t>21.10</t>
  </si>
  <si>
    <t>23.11</t>
  </si>
  <si>
    <t xml:space="preserve">CAIXA DE GORDURA E INSPEÇÃO EM PVC/ABS 19 LITROS COM TAMPA E CESTO DE LIMPEZA REMOVÍVEL </t>
  </si>
  <si>
    <t>CAIXA DE GORDURA 100 L CONCRETO PADRÃO GOINFRA IMPERMEABILIZADA</t>
  </si>
  <si>
    <t xml:space="preserve">                       Agência Nacional do Petróleo, Gás Natural e Biocombustíveis</t>
  </si>
  <si>
    <t xml:space="preserve">                       Superintendência de Defesa da Concorrência, Estudos e Regulação Econômica</t>
  </si>
  <si>
    <t>PREÇO MÉDIO MENSAL PONDERADO PRATICADO PELOS DISTRIBUIDORES DE PRODUTOS ASFÁLTICOS (R$/KG)</t>
  </si>
  <si>
    <t>MÊS</t>
  </si>
  <si>
    <t>CÓDIGO</t>
  </si>
  <si>
    <t>PRODUTO</t>
  </si>
  <si>
    <t>CUSTO/KG</t>
  </si>
  <si>
    <t>REFERENCIAL</t>
  </si>
  <si>
    <t xml:space="preserve">CUSTO/T  </t>
  </si>
  <si>
    <t>ICMS  17,00%</t>
  </si>
  <si>
    <t>BDI  16,70%</t>
  </si>
  <si>
    <t>EMULSÃO ASFÁLTICA PARA SERVIÇO DE IMPRIMAÇÃO</t>
  </si>
  <si>
    <t>Goiás</t>
  </si>
  <si>
    <t>EMULSÕES ASFÁLTICAS RR-2C</t>
  </si>
  <si>
    <t>FORNECIMENTO DE EMULSÃO ASFÁLTICA PARA IMPRIMAÇÃO - EAI</t>
  </si>
  <si>
    <t>Volume líquido de corte no platô (conforme projeto)</t>
  </si>
  <si>
    <t>Volume líquido de aterro no platô (conforme projeto)</t>
  </si>
  <si>
    <t>Área total do terreno</t>
  </si>
  <si>
    <t>Entrada de acesso ao CEASA</t>
  </si>
  <si>
    <t>Área de pavimentação do pátio do CEASA</t>
  </si>
  <si>
    <t>EXECUÇÃO E COMPACTAÇÃO DE BASE E OU SUB BASE PARA PAVIMENTAÇÃO DE SOLOS ESTABILIZADOS GRANULOMETRICAMENTE COM MISTURA DE SOLOS EM PISTA - EXCLUSIVE SOLO, ESCAVAÇÃO, CARGA E TRANSPORTE. AF_11/2019</t>
  </si>
  <si>
    <t>23.12</t>
  </si>
  <si>
    <t>23.13</t>
  </si>
  <si>
    <t>PINTURA DE LIGAÇÃO (PAV.URB.)</t>
  </si>
  <si>
    <t>Taxa de aplicação (kg/m²/1000)</t>
  </si>
  <si>
    <t>Peso Específico (t/m³)</t>
  </si>
  <si>
    <t>Distância (km)</t>
  </si>
  <si>
    <t>Espessura (m)</t>
  </si>
  <si>
    <t>Área (m²)</t>
  </si>
  <si>
    <t>Peso a transportar (t)</t>
  </si>
  <si>
    <t>Empolamento (%)</t>
  </si>
  <si>
    <t>Volume (m³)</t>
  </si>
  <si>
    <t>CONCRETO USINADO BOMBEÁVEL FCK=25 MPA (O.C.)</t>
  </si>
  <si>
    <t>LANÇAMENTO/APLICAÇÃO/ADENSAMENTO DE CONCRETO USINADO BOMBEADO EM FUNDAÇÃO (O.C.)</t>
  </si>
  <si>
    <t>LANÇAMENTO/APLICAÇÃO/ADENSAMENTO DE CONCRETO USINADO BOMBEADO EM ESTRUTURA - (O.C.)</t>
  </si>
  <si>
    <t xml:space="preserve">PORTA DE CORRER/VIDRO (4) FOLHAS PF-6 C/ FERRAGENS </t>
  </si>
  <si>
    <t xml:space="preserve">ESQ.MAXIMO AR CHAPA/VIDRO J1/J2/J7/J15 C/FERRAGENS </t>
  </si>
  <si>
    <t>Item 21.2</t>
  </si>
  <si>
    <t>PORTA ABRIR/VENEZIANA PF-4 C/FERRAGENS</t>
  </si>
  <si>
    <t>CÁLCULO DO FRETE - PORTARIA DNIT N° 1078 11/08/2015</t>
  </si>
  <si>
    <t>FRETE ROD PAVIMENTADA = ( 26,939 + 0,253 X DT ) * ( IPAV )</t>
  </si>
  <si>
    <t>IPAV = ( IND. IPAV MES / IND. IPAV BASE)</t>
  </si>
  <si>
    <t>DISTÂNCIA DE TRANSPORTE (Km)</t>
  </si>
  <si>
    <t>FRETE (R$)</t>
  </si>
  <si>
    <t>Indice base IPAV</t>
  </si>
  <si>
    <t>Indice mês IPAV</t>
  </si>
  <si>
    <t>DT ( Km )</t>
  </si>
  <si>
    <t>Valor do Frete</t>
  </si>
  <si>
    <t>TRANSPORTE COMERCIAL DE MATERIAL BETUMINOSO</t>
  </si>
  <si>
    <t xml:space="preserve">TRANSPORTE COMERCIAL DE AGREGADOS </t>
  </si>
  <si>
    <t>TRANSPORTE COMERCIAL DE MASSA</t>
  </si>
  <si>
    <t>m³km</t>
  </si>
  <si>
    <t>23.14</t>
  </si>
  <si>
    <t>FORNECIMENTO DE CAP-50/70</t>
  </si>
  <si>
    <t>23.15</t>
  </si>
  <si>
    <t>VOLUME DE CBUQ (m³)</t>
  </si>
  <si>
    <t>PESO ESPECÍFICO DO CBUQ (t/m³)</t>
  </si>
  <si>
    <t>CIMENTO ASFÁLTICO CAP-50/70</t>
  </si>
  <si>
    <t>Tonelada CBUQ (t)</t>
  </si>
  <si>
    <t>Porcentagem de Agregado no CBUQ (%)</t>
  </si>
  <si>
    <t>Centro-Oeste</t>
  </si>
  <si>
    <t>CATALÃO 20/07/2022</t>
  </si>
  <si>
    <t>MEMÓRIA DE CÁLCULO: CEASA CATALÃO</t>
  </si>
  <si>
    <t>CRONOGRAMA FÍSICO-FINANCEIRO: CEASA CATALÃO</t>
  </si>
  <si>
    <t>PRODUTOS ASFÁLTICOS: CEASA CATALÃO</t>
  </si>
  <si>
    <t>BDI: CEASA CATALÃO</t>
  </si>
  <si>
    <t xml:space="preserve">LIMPEZA MECANICA DE TERRENO </t>
  </si>
  <si>
    <t>TOPÓGRAFO</t>
  </si>
  <si>
    <t>AUXILIAR DE TOPOGRAFIA</t>
  </si>
  <si>
    <t>ALMOXARIFE/APONTADOR/COMPRADOR</t>
  </si>
  <si>
    <t>FONTE</t>
  </si>
  <si>
    <t>ADMINISTRAÇÃO LOCAL DA OBRA</t>
  </si>
  <si>
    <t>DESCRIÇÃO DOS SERVIÇOS</t>
  </si>
  <si>
    <t>CONSUMO</t>
  </si>
  <si>
    <t>ENGENHEIRO DE PRODUÇÃO/CIVIL</t>
  </si>
  <si>
    <t>VIGIA</t>
  </si>
  <si>
    <t xml:space="preserve"> Composição 2 - ADMINISTRAÇÃO LOCAL DA OBRA</t>
  </si>
  <si>
    <t>ENCARREGADO GERAL</t>
  </si>
  <si>
    <t>TÉCNICO DE SEGURANÇA DO TRABALHO</t>
  </si>
  <si>
    <t xml:space="preserve"> Composição 3 - CANTEIRO DE OBRAS</t>
  </si>
  <si>
    <t>ALMOXARIFADO</t>
  </si>
  <si>
    <t>TENDA 6X6M (REFEITÓRIO)</t>
  </si>
  <si>
    <t>MESA COM 4 CADEIRAS (REFEITÓRIO – TENDAS)</t>
  </si>
  <si>
    <t>CONSUMO DE ENERGIA (CANTEIRO/ ALOJAMENTO)</t>
  </si>
  <si>
    <t>M2</t>
  </si>
  <si>
    <t>CJ</t>
  </si>
  <si>
    <t>UNID.</t>
  </si>
  <si>
    <t>FOSSA SÉPTICA</t>
  </si>
  <si>
    <t>SUMIDOURO</t>
  </si>
  <si>
    <t>INSTALAÇÕES PROVISÓRIAS DE ENERGIA ELÉTRICA</t>
  </si>
  <si>
    <t>POÇO ARTESIANO</t>
  </si>
  <si>
    <t>KWH/MES</t>
  </si>
  <si>
    <t>PLACA DE OBRA</t>
  </si>
  <si>
    <t>VIBROACABADORA DE ASFALTO SOBRE ESTEIRAS</t>
  </si>
  <si>
    <t>MOBILIZAÇÃO E DESMOBILIZAÇÃO DE EQUIPAMENTOS</t>
  </si>
  <si>
    <t>PRAZO DE EXECUÇÃO</t>
  </si>
  <si>
    <t>MESES</t>
  </si>
  <si>
    <t>ESPECIFICAÇÃO DE SERVIÇO</t>
  </si>
  <si>
    <t>DESCRIÇÃO</t>
  </si>
  <si>
    <t>DT</t>
  </si>
  <si>
    <t>unid</t>
  </si>
  <si>
    <t>MOBILIZAÇÃO / DESMOBILIZAÇÃO DE EQUIPAMENTOS</t>
  </si>
  <si>
    <t>Distância de Goiânia a Catalão</t>
  </si>
  <si>
    <t>CARREGADEIRA DE PNEUS CAT - 924 G OU EQUIVALENTE</t>
  </si>
  <si>
    <t>ESCAVADEIRA HIDRÁULICA - 320DL  OU EQUIVALENTE</t>
  </si>
  <si>
    <t>MOTONIVELADORA - CAT 120K OU EQUIVALENTE</t>
  </si>
  <si>
    <t>RETRO ESCAVADEIRA DE PNEUS - CATERPILLAR 416E OU EQUIVALENTE</t>
  </si>
  <si>
    <t>ROLO COMPAC. PNEUS AUTOPROP. 27 T</t>
  </si>
  <si>
    <t>ROLO LISO TANDEN - 6/8 T - CA-150 OU EQUIVALENTE</t>
  </si>
  <si>
    <t>ROLO LISO VIBRATÓRIO AUTOPROPELIDO - CS533 E OU EQUIVALENTE</t>
  </si>
  <si>
    <t>ROLO PÉ DE CARNEIRO AUTOPROPELIDO - CA 250 OU EQUIVALENTE</t>
  </si>
  <si>
    <t>TRATOR DE PNEUS AGRÍCOLA – MF4292 OU EQUIVALENTE</t>
  </si>
  <si>
    <t>TRATOR EST. C/ ESCARIFICADOR - CAT D8 OU EQUIVALENTE</t>
  </si>
  <si>
    <t>TANQUE DE ESTOCAGEM ASFALTO (30.000L)</t>
  </si>
  <si>
    <t>CAMINHÃO BASCULANTE 10 M3 - 15 T</t>
  </si>
  <si>
    <t>CAMINHÃO CARROCERIA MADEIRA - 15 T</t>
  </si>
  <si>
    <t>CAMINHÃO TANQUE 10.000L</t>
  </si>
  <si>
    <t>CAMINHÃO TANQUE DISTRIBUIDOR DE ASFALTO</t>
  </si>
  <si>
    <t>TOTAL - MOBILIZAÇÃO / DESMOBILIZAÇÃO DE EQUIPAMENTOS</t>
  </si>
  <si>
    <t>COMPOSIÇÃO: CEASA CATALÃO</t>
  </si>
  <si>
    <t>MOBILIZAÇÃO E DESMOBILIZAÇÃO: CEASA CATALÃO</t>
  </si>
  <si>
    <t>GRUPO DE SERVIÇO: ADMINISTRAÇÃO LOCAL</t>
  </si>
  <si>
    <t xml:space="preserve"> Composição 2</t>
  </si>
  <si>
    <t>mes</t>
  </si>
  <si>
    <t>GRUPO DE SERVIÇO: CANTEIRO DE OBRAS</t>
  </si>
  <si>
    <t xml:space="preserve"> Composição 3</t>
  </si>
  <si>
    <t>CANTEIRO DE OBRAS</t>
  </si>
  <si>
    <t xml:space="preserve"> Composição 4</t>
  </si>
  <si>
    <t>GRUPO DE SERVIÇO: MOBILIZAÇÃO E DESMOBILIZAÇÃO DE EQUIPAMENTOS</t>
  </si>
  <si>
    <t>2 - BDI REDUZIDO PARA OBRAS RODOVIÁRIAS</t>
  </si>
  <si>
    <t>1 - BDI PARA OBRAS RODOVIÁRIAS</t>
  </si>
  <si>
    <t>2 - BDI REDUZIDO PARA OBRAS DE EDIFICAÇÕES</t>
  </si>
  <si>
    <t>BDI DIFERENCIADO</t>
  </si>
  <si>
    <t>BDI REDUZIDO</t>
  </si>
  <si>
    <t>GOINFRA - TABELA T77 - TERRAPLENAGEM, PAVIMENTAÇÃO E OBRAS DE ARTE ESPECIAIS - JUL/22 - COM DESONERAÇÃO</t>
  </si>
  <si>
    <t>GOINFRA - TABELA 174 - CUSTOS DE OBRAS CIVIS - JUL/2022 - COM DESENERAÇÃO</t>
  </si>
  <si>
    <t>SINAPI - JUL/2022 - COMPOSIÇÃO SINTÉTICA - DESONERADA</t>
  </si>
  <si>
    <t>SINAPI - JUL/2022 - PREÇO DE INSUMOS - DESONERADA</t>
  </si>
  <si>
    <t xml:space="preserve">LIMPEZA FINAL DE OBRA - (OBRAS CIVIS) </t>
  </si>
  <si>
    <t>GOINFRA - T177</t>
  </si>
  <si>
    <t>REGULARIZAÇÃO E COMPACTAÇÃO DO SUB-LEITO (PAV.URB.)</t>
  </si>
  <si>
    <t xml:space="preserve">ESC. E CARGA DE MAT. DE JAZ-. C/ INDENIZ. (PAV.URB.) </t>
  </si>
  <si>
    <t>TRANSPORTE DE MAT. DE JAZIDA-CASCALHO (PAV.URB.)</t>
  </si>
  <si>
    <t>SECRETARIA MUNICIPAL DE TRANSPORTES</t>
  </si>
  <si>
    <t>LICENGE ENGENHARIA E CONSULTORIA</t>
  </si>
  <si>
    <t>CNPJ: 27.164.612/0001-76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</si>
</sst>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&quot;R$&quot;#,##0.00"/>
    <numFmt numFmtId="168" formatCode="0.0000"/>
    <numFmt numFmtId="169" formatCode="_-&quot;R$&quot;\ * #,##0.0000_-;\-&quot;R$&quot;\ * #,##0.0000_-;_-&quot;R$&quot;\ * &quot;-&quot;??_-;_-@_-"/>
    <numFmt numFmtId="170" formatCode="0.000"/>
    <numFmt numFmtId="171" formatCode="0.00000"/>
    <numFmt numFmtId="172" formatCode="_(* #,##0.00_);_(* \(#,##0.00\);_(* &quot;-&quot;??_);_(@_)"/>
    <numFmt numFmtId="173" formatCode="0_)"/>
    <numFmt numFmtId="174" formatCode="General_)"/>
    <numFmt numFmtId="175" formatCode="&quot;R$ 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FFFFCC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165" fontId="4" fillId="0" borderId="0"/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4" xfId="0" applyBorder="1"/>
    <xf numFmtId="10" fontId="0" fillId="0" borderId="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9" fontId="1" fillId="0" borderId="14" xfId="3" applyFont="1" applyFill="1" applyBorder="1" applyAlignment="1">
      <alignment horizontal="center"/>
    </xf>
    <xf numFmtId="167" fontId="0" fillId="0" borderId="14" xfId="4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4" applyNumberFormat="1" applyFont="1" applyBorder="1" applyAlignment="1">
      <alignment horizontal="center"/>
    </xf>
    <xf numFmtId="0" fontId="0" fillId="0" borderId="14" xfId="4" applyNumberFormat="1" applyFont="1" applyBorder="1" applyAlignment="1">
      <alignment horizontal="center" wrapText="1"/>
    </xf>
    <xf numFmtId="166" fontId="0" fillId="0" borderId="14" xfId="0" applyNumberFormat="1" applyBorder="1" applyAlignment="1">
      <alignment horizontal="center" wrapText="1"/>
    </xf>
    <xf numFmtId="0" fontId="0" fillId="0" borderId="14" xfId="4" applyNumberFormat="1" applyFont="1" applyBorder="1" applyAlignment="1">
      <alignment horizontal="center" vertical="top" wrapText="1"/>
    </xf>
    <xf numFmtId="44" fontId="7" fillId="0" borderId="11" xfId="4" applyFont="1" applyFill="1" applyBorder="1" applyAlignment="1" applyProtection="1">
      <alignment horizontal="center" vertical="center"/>
      <protection locked="0"/>
    </xf>
    <xf numFmtId="44" fontId="7" fillId="0" borderId="11" xfId="4" applyFont="1" applyFill="1" applyBorder="1" applyAlignment="1" applyProtection="1">
      <alignment horizontal="center" vertical="center" wrapText="1"/>
      <protection locked="0"/>
    </xf>
    <xf numFmtId="44" fontId="7" fillId="0" borderId="14" xfId="4" applyFont="1" applyFill="1" applyBorder="1" applyAlignment="1" applyProtection="1">
      <alignment horizontal="center" vertical="center" wrapText="1"/>
      <protection locked="0"/>
    </xf>
    <xf numFmtId="10" fontId="1" fillId="0" borderId="11" xfId="3" applyNumberFormat="1" applyFont="1" applyFill="1" applyBorder="1" applyAlignment="1">
      <alignment horizontal="center"/>
    </xf>
    <xf numFmtId="167" fontId="0" fillId="0" borderId="11" xfId="4" applyNumberFormat="1" applyFont="1" applyBorder="1" applyAlignment="1">
      <alignment horizontal="center" vertical="center"/>
    </xf>
    <xf numFmtId="10" fontId="0" fillId="0" borderId="0" xfId="0" applyNumberFormat="1"/>
    <xf numFmtId="0" fontId="0" fillId="0" borderId="33" xfId="0" applyBorder="1" applyAlignment="1">
      <alignment horizontal="left" wrapText="1"/>
    </xf>
    <xf numFmtId="10" fontId="1" fillId="4" borderId="11" xfId="3" applyNumberFormat="1" applyFont="1" applyFill="1" applyBorder="1" applyAlignment="1">
      <alignment horizontal="center"/>
    </xf>
    <xf numFmtId="10" fontId="1" fillId="4" borderId="14" xfId="0" applyNumberFormat="1" applyFont="1" applyFill="1" applyBorder="1" applyAlignment="1">
      <alignment horizontal="center"/>
    </xf>
    <xf numFmtId="9" fontId="1" fillId="4" borderId="14" xfId="3" applyFont="1" applyFill="1" applyBorder="1" applyAlignment="1">
      <alignment horizontal="center"/>
    </xf>
    <xf numFmtId="44" fontId="6" fillId="0" borderId="19" xfId="4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5" fillId="2" borderId="6" xfId="4" applyFont="1" applyFill="1" applyBorder="1" applyAlignment="1" applyProtection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2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4" fontId="5" fillId="4" borderId="6" xfId="4" applyFont="1" applyFill="1" applyBorder="1" applyAlignment="1" applyProtection="1">
      <alignment horizontal="center" vertical="center"/>
    </xf>
    <xf numFmtId="2" fontId="7" fillId="0" borderId="11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44" fontId="5" fillId="0" borderId="15" xfId="4" applyFont="1" applyFill="1" applyBorder="1" applyAlignment="1" applyProtection="1">
      <alignment horizontal="center" vertical="center"/>
    </xf>
    <xf numFmtId="2" fontId="7" fillId="0" borderId="14" xfId="1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4" applyFont="1" applyAlignment="1" applyProtection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2" fontId="0" fillId="0" borderId="15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0" xfId="0" applyNumberFormat="1"/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44" fontId="6" fillId="0" borderId="14" xfId="4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/>
    <xf numFmtId="10" fontId="0" fillId="0" borderId="2" xfId="3" applyNumberFormat="1" applyFont="1" applyBorder="1"/>
    <xf numFmtId="0" fontId="0" fillId="0" borderId="4" xfId="0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6" fontId="0" fillId="0" borderId="0" xfId="0" applyNumberFormat="1"/>
    <xf numFmtId="10" fontId="0" fillId="0" borderId="0" xfId="3" applyNumberFormat="1" applyFont="1" applyBorder="1"/>
    <xf numFmtId="166" fontId="0" fillId="0" borderId="5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/>
    <xf numFmtId="0" fontId="9" fillId="0" borderId="0" xfId="0" applyFont="1"/>
    <xf numFmtId="10" fontId="9" fillId="0" borderId="0" xfId="3" applyNumberFormat="1" applyFont="1" applyBorder="1" applyAlignment="1"/>
    <xf numFmtId="166" fontId="9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0" fontId="9" fillId="0" borderId="0" xfId="3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/>
    <xf numFmtId="4" fontId="9" fillId="0" borderId="31" xfId="0" applyNumberFormat="1" applyFont="1" applyBorder="1" applyAlignment="1">
      <alignment horizontal="center"/>
    </xf>
    <xf numFmtId="10" fontId="9" fillId="0" borderId="31" xfId="3" applyNumberFormat="1" applyFont="1" applyBorder="1" applyAlignment="1">
      <alignment horizontal="center"/>
    </xf>
    <xf numFmtId="166" fontId="9" fillId="0" borderId="32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5" xfId="0" applyBorder="1"/>
    <xf numFmtId="166" fontId="9" fillId="0" borderId="31" xfId="0" applyNumberFormat="1" applyFon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right"/>
    </xf>
    <xf numFmtId="166" fontId="0" fillId="0" borderId="3" xfId="0" applyNumberFormat="1" applyBorder="1"/>
    <xf numFmtId="166" fontId="0" fillId="0" borderId="5" xfId="0" applyNumberForma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166" fontId="0" fillId="0" borderId="11" xfId="0" applyNumberFormat="1" applyBorder="1" applyAlignment="1">
      <alignment horizontal="center"/>
    </xf>
    <xf numFmtId="10" fontId="0" fillId="6" borderId="12" xfId="3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6" borderId="15" xfId="3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0" fillId="0" borderId="31" xfId="0" applyNumberFormat="1" applyBorder="1"/>
    <xf numFmtId="166" fontId="0" fillId="0" borderId="31" xfId="0" applyNumberFormat="1" applyBorder="1"/>
    <xf numFmtId="10" fontId="9" fillId="0" borderId="31" xfId="3" applyNumberFormat="1" applyFont="1" applyBorder="1" applyAlignment="1"/>
    <xf numFmtId="9" fontId="5" fillId="2" borderId="6" xfId="3" applyFont="1" applyFill="1" applyBorder="1" applyAlignment="1" applyProtection="1">
      <alignment horizontal="center" vertical="center"/>
    </xf>
    <xf numFmtId="9" fontId="6" fillId="0" borderId="14" xfId="3" applyFont="1" applyFill="1" applyBorder="1" applyAlignment="1" applyProtection="1">
      <alignment horizontal="center" vertical="center"/>
      <protection locked="0"/>
    </xf>
    <xf numFmtId="9" fontId="0" fillId="0" borderId="2" xfId="3" applyFont="1" applyBorder="1"/>
    <xf numFmtId="9" fontId="0" fillId="0" borderId="0" xfId="3" applyFont="1" applyBorder="1"/>
    <xf numFmtId="9" fontId="9" fillId="0" borderId="0" xfId="3" applyFont="1" applyBorder="1" applyAlignment="1"/>
    <xf numFmtId="9" fontId="9" fillId="0" borderId="0" xfId="3" applyFont="1" applyBorder="1" applyAlignment="1">
      <alignment horizontal="center"/>
    </xf>
    <xf numFmtId="9" fontId="9" fillId="0" borderId="31" xfId="3" applyFont="1" applyBorder="1" applyAlignment="1">
      <alignment horizontal="center"/>
    </xf>
    <xf numFmtId="9" fontId="6" fillId="0" borderId="0" xfId="3" applyFont="1" applyAlignment="1" applyProtection="1">
      <alignment horizontal="center" vertical="center"/>
    </xf>
    <xf numFmtId="10" fontId="6" fillId="0" borderId="33" xfId="3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4" fontId="11" fillId="0" borderId="51" xfId="7" applyNumberFormat="1" applyFont="1" applyBorder="1" applyAlignment="1">
      <alignment horizontal="center" vertical="center"/>
    </xf>
    <xf numFmtId="4" fontId="11" fillId="0" borderId="52" xfId="7" applyNumberFormat="1" applyFont="1" applyBorder="1" applyAlignment="1">
      <alignment horizontal="center" vertical="center"/>
    </xf>
    <xf numFmtId="43" fontId="10" fillId="0" borderId="43" xfId="7" applyFont="1" applyBorder="1" applyAlignment="1">
      <alignment horizontal="center" vertical="center"/>
    </xf>
    <xf numFmtId="0" fontId="12" fillId="0" borderId="4" xfId="0" applyFont="1" applyBorder="1"/>
    <xf numFmtId="0" fontId="0" fillId="0" borderId="19" xfId="0" applyBorder="1" applyAlignment="1">
      <alignment horizontal="left" vertical="center" wrapText="1"/>
    </xf>
    <xf numFmtId="0" fontId="0" fillId="0" borderId="3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 wrapText="1"/>
    </xf>
    <xf numFmtId="44" fontId="5" fillId="4" borderId="38" xfId="4" applyFont="1" applyFill="1" applyBorder="1" applyAlignment="1" applyProtection="1">
      <alignment horizontal="center" vertical="center"/>
    </xf>
    <xf numFmtId="10" fontId="6" fillId="0" borderId="14" xfId="3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9" fontId="0" fillId="0" borderId="14" xfId="3" applyFont="1" applyBorder="1" applyAlignment="1" applyProtection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0" fillId="6" borderId="0" xfId="0" applyFill="1"/>
    <xf numFmtId="2" fontId="1" fillId="0" borderId="15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14" xfId="0" applyFill="1" applyBorder="1" applyAlignment="1">
      <alignment vertical="center" wrapText="1"/>
    </xf>
    <xf numFmtId="2" fontId="0" fillId="6" borderId="29" xfId="0" applyNumberFormat="1" applyFill="1" applyBorder="1" applyAlignment="1">
      <alignment horizontal="center" vertical="center"/>
    </xf>
    <xf numFmtId="44" fontId="7" fillId="0" borderId="33" xfId="4" applyFont="1" applyFill="1" applyBorder="1" applyAlignment="1" applyProtection="1">
      <alignment horizontal="center" vertical="center"/>
      <protection locked="0"/>
    </xf>
    <xf numFmtId="44" fontId="7" fillId="0" borderId="34" xfId="4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2" fontId="6" fillId="6" borderId="14" xfId="0" applyNumberFormat="1" applyFont="1" applyFill="1" applyBorder="1" applyAlignment="1">
      <alignment horizontal="center" vertical="center"/>
    </xf>
    <xf numFmtId="10" fontId="6" fillId="6" borderId="33" xfId="3" applyNumberFormat="1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>
      <alignment horizontal="center" vertical="center"/>
    </xf>
    <xf numFmtId="2" fontId="6" fillId="6" borderId="19" xfId="0" applyNumberFormat="1" applyFont="1" applyFill="1" applyBorder="1" applyAlignment="1">
      <alignment horizontal="center" vertical="center"/>
    </xf>
    <xf numFmtId="44" fontId="6" fillId="6" borderId="19" xfId="4" applyFont="1" applyFill="1" applyBorder="1" applyAlignment="1" applyProtection="1">
      <alignment horizontal="center" vertical="center"/>
      <protection locked="0"/>
    </xf>
    <xf numFmtId="44" fontId="6" fillId="0" borderId="19" xfId="4" applyFont="1" applyFill="1" applyBorder="1" applyAlignment="1" applyProtection="1">
      <alignment horizontal="center" vertical="center"/>
      <protection locked="0"/>
    </xf>
    <xf numFmtId="10" fontId="6" fillId="0" borderId="33" xfId="3" applyNumberFormat="1" applyFont="1" applyFill="1" applyBorder="1" applyAlignment="1" applyProtection="1">
      <alignment horizontal="center" vertical="center"/>
      <protection locked="0"/>
    </xf>
    <xf numFmtId="44" fontId="6" fillId="0" borderId="11" xfId="4" applyFont="1" applyFill="1" applyBorder="1" applyAlignment="1" applyProtection="1">
      <alignment horizontal="center" vertical="center"/>
      <protection locked="0"/>
    </xf>
    <xf numFmtId="0" fontId="7" fillId="6" borderId="14" xfId="1" applyFont="1" applyFill="1" applyBorder="1" applyAlignment="1">
      <alignment horizontal="center" vertical="center"/>
    </xf>
    <xf numFmtId="2" fontId="7" fillId="6" borderId="14" xfId="1" applyNumberFormat="1" applyFont="1" applyFill="1" applyBorder="1" applyAlignment="1">
      <alignment horizontal="center" vertical="center"/>
    </xf>
    <xf numFmtId="44" fontId="7" fillId="6" borderId="14" xfId="4" applyFont="1" applyFill="1" applyBorder="1" applyAlignment="1" applyProtection="1">
      <alignment horizontal="center" vertical="center"/>
      <protection locked="0"/>
    </xf>
    <xf numFmtId="2" fontId="7" fillId="6" borderId="11" xfId="1" applyNumberFormat="1" applyFont="1" applyFill="1" applyBorder="1" applyAlignment="1">
      <alignment horizontal="center" vertical="center"/>
    </xf>
    <xf numFmtId="44" fontId="7" fillId="6" borderId="11" xfId="4" applyFont="1" applyFill="1" applyBorder="1" applyAlignment="1" applyProtection="1">
      <alignment horizontal="center" vertical="center"/>
      <protection locked="0"/>
    </xf>
    <xf numFmtId="44" fontId="7" fillId="6" borderId="11" xfId="4" applyFont="1" applyFill="1" applyBorder="1" applyAlignment="1" applyProtection="1">
      <alignment horizontal="center" vertical="center" wrapText="1"/>
      <protection locked="0"/>
    </xf>
    <xf numFmtId="0" fontId="6" fillId="6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/>
    </xf>
    <xf numFmtId="0" fontId="7" fillId="6" borderId="14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165" fontId="7" fillId="8" borderId="14" xfId="6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0" fontId="0" fillId="0" borderId="14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0" fillId="0" borderId="14" xfId="0" applyBorder="1"/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2" fontId="1" fillId="0" borderId="57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2" fontId="0" fillId="0" borderId="49" xfId="0" applyNumberForma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left" vertical="top" wrapText="1"/>
    </xf>
    <xf numFmtId="0" fontId="1" fillId="0" borderId="52" xfId="0" applyFont="1" applyBorder="1" applyAlignment="1">
      <alignment horizontal="right"/>
    </xf>
    <xf numFmtId="0" fontId="0" fillId="0" borderId="17" xfId="0" applyBorder="1" applyAlignment="1">
      <alignment horizontal="left"/>
    </xf>
    <xf numFmtId="44" fontId="6" fillId="0" borderId="0" xfId="4" applyFont="1" applyBorder="1" applyAlignment="1" applyProtection="1">
      <alignment horizontal="center" vertical="center"/>
      <protection locked="0"/>
    </xf>
    <xf numFmtId="2" fontId="1" fillId="0" borderId="59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6" xfId="0" applyBorder="1" applyAlignment="1">
      <alignment horizontal="left" vertical="center" wrapText="1"/>
    </xf>
    <xf numFmtId="2" fontId="0" fillId="0" borderId="59" xfId="0" applyNumberFormat="1" applyBorder="1" applyAlignment="1">
      <alignment horizontal="center" vertical="center"/>
    </xf>
    <xf numFmtId="2" fontId="1" fillId="0" borderId="60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1" fillId="6" borderId="14" xfId="0" applyFont="1" applyFill="1" applyBorder="1" applyAlignment="1">
      <alignment vertical="center" wrapText="1"/>
    </xf>
    <xf numFmtId="2" fontId="0" fillId="6" borderId="14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center" vertical="center"/>
    </xf>
    <xf numFmtId="2" fontId="0" fillId="6" borderId="15" xfId="0" applyNumberForma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17" fontId="3" fillId="6" borderId="4" xfId="0" applyNumberFormat="1" applyFont="1" applyFill="1" applyBorder="1"/>
    <xf numFmtId="0" fontId="1" fillId="6" borderId="4" xfId="0" applyFont="1" applyFill="1" applyBorder="1"/>
    <xf numFmtId="0" fontId="1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0" fillId="0" borderId="14" xfId="0" applyBorder="1" applyAlignment="1">
      <alignment vertical="center"/>
    </xf>
    <xf numFmtId="166" fontId="16" fillId="0" borderId="14" xfId="0" applyNumberFormat="1" applyFont="1" applyBorder="1" applyAlignment="1">
      <alignment horizontal="distributed" vertical="justify" indent="1"/>
    </xf>
    <xf numFmtId="166" fontId="0" fillId="0" borderId="14" xfId="0" applyNumberFormat="1" applyBorder="1" applyAlignment="1">
      <alignment horizontal="distributed" vertical="justify" indent="1"/>
    </xf>
    <xf numFmtId="166" fontId="0" fillId="0" borderId="15" xfId="0" applyNumberFormat="1" applyBorder="1" applyAlignment="1">
      <alignment horizontal="distributed" vertical="justify" indent="1"/>
    </xf>
    <xf numFmtId="17" fontId="0" fillId="0" borderId="51" xfId="0" applyNumberFormat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166" fontId="16" fillId="0" borderId="52" xfId="0" applyNumberFormat="1" applyFont="1" applyBorder="1" applyAlignment="1">
      <alignment horizontal="distributed" vertical="justify" indent="1"/>
    </xf>
    <xf numFmtId="166" fontId="0" fillId="0" borderId="52" xfId="0" applyNumberFormat="1" applyBorder="1" applyAlignment="1">
      <alignment horizontal="distributed" vertical="justify" indent="1"/>
    </xf>
    <xf numFmtId="166" fontId="0" fillId="0" borderId="43" xfId="0" applyNumberFormat="1" applyBorder="1" applyAlignment="1">
      <alignment horizontal="distributed" vertical="justify" indent="1"/>
    </xf>
    <xf numFmtId="0" fontId="1" fillId="0" borderId="14" xfId="0" applyFont="1" applyBorder="1" applyAlignment="1">
      <alignment horizontal="center"/>
    </xf>
    <xf numFmtId="2" fontId="0" fillId="0" borderId="48" xfId="0" applyNumberFormat="1" applyBorder="1" applyAlignment="1">
      <alignment vertical="center"/>
    </xf>
    <xf numFmtId="2" fontId="0" fillId="0" borderId="50" xfId="0" applyNumberFormat="1" applyBorder="1" applyAlignment="1">
      <alignment vertical="center"/>
    </xf>
    <xf numFmtId="2" fontId="0" fillId="0" borderId="34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10" fontId="0" fillId="0" borderId="34" xfId="0" applyNumberFormat="1" applyBorder="1" applyAlignment="1">
      <alignment horizontal="center" vertical="center"/>
    </xf>
    <xf numFmtId="0" fontId="7" fillId="6" borderId="14" xfId="0" applyFont="1" applyFill="1" applyBorder="1" applyAlignment="1">
      <alignment horizontal="left" vertical="center" wrapText="1"/>
    </xf>
    <xf numFmtId="2" fontId="0" fillId="0" borderId="56" xfId="0" applyNumberFormat="1" applyBorder="1" applyAlignment="1">
      <alignment horizontal="center" vertical="center" wrapText="1"/>
    </xf>
    <xf numFmtId="44" fontId="0" fillId="0" borderId="0" xfId="0" applyNumberFormat="1"/>
    <xf numFmtId="0" fontId="6" fillId="6" borderId="14" xfId="0" applyFont="1" applyFill="1" applyBorder="1" applyAlignment="1">
      <alignment vertical="center"/>
    </xf>
    <xf numFmtId="44" fontId="5" fillId="4" borderId="23" xfId="4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44" fontId="6" fillId="0" borderId="33" xfId="4" applyFont="1" applyBorder="1" applyAlignment="1" applyProtection="1">
      <alignment horizontal="center" vertical="center"/>
    </xf>
    <xf numFmtId="44" fontId="6" fillId="0" borderId="29" xfId="4" applyFont="1" applyBorder="1" applyAlignment="1" applyProtection="1">
      <alignment horizontal="center" vertical="center"/>
    </xf>
    <xf numFmtId="44" fontId="6" fillId="0" borderId="14" xfId="4" applyFont="1" applyFill="1" applyBorder="1" applyAlignment="1" applyProtection="1">
      <alignment horizontal="center" vertical="center"/>
      <protection locked="0"/>
    </xf>
    <xf numFmtId="44" fontId="6" fillId="0" borderId="14" xfId="4" applyFont="1" applyBorder="1" applyAlignment="1" applyProtection="1">
      <alignment horizontal="center" vertical="center"/>
      <protection locked="0"/>
    </xf>
    <xf numFmtId="44" fontId="6" fillId="6" borderId="14" xfId="4" applyFont="1" applyFill="1" applyBorder="1" applyAlignment="1" applyProtection="1">
      <alignment horizontal="center" vertical="center"/>
      <protection locked="0"/>
    </xf>
    <xf numFmtId="44" fontId="7" fillId="0" borderId="14" xfId="4" applyFont="1" applyFill="1" applyBorder="1" applyAlignment="1" applyProtection="1">
      <alignment horizontal="center" vertical="center"/>
      <protection locked="0"/>
    </xf>
    <xf numFmtId="2" fontId="0" fillId="0" borderId="47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0" fontId="1" fillId="0" borderId="45" xfId="0" applyFont="1" applyBorder="1" applyAlignment="1">
      <alignment horizontal="right"/>
    </xf>
    <xf numFmtId="2" fontId="0" fillId="0" borderId="3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56" xfId="0" applyBorder="1" applyAlignment="1">
      <alignment horizontal="left" vertical="top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left"/>
    </xf>
    <xf numFmtId="0" fontId="1" fillId="0" borderId="56" xfId="0" applyFont="1" applyBorder="1" applyAlignment="1">
      <alignment horizontal="right"/>
    </xf>
    <xf numFmtId="2" fontId="0" fillId="0" borderId="40" xfId="0" applyNumberFormat="1" applyBorder="1" applyAlignment="1">
      <alignment horizontal="center" vertical="center"/>
    </xf>
    <xf numFmtId="10" fontId="6" fillId="0" borderId="19" xfId="3" applyNumberFormat="1" applyFont="1" applyBorder="1" applyAlignment="1" applyProtection="1">
      <alignment horizontal="center" vertical="center"/>
      <protection locked="0"/>
    </xf>
    <xf numFmtId="2" fontId="0" fillId="0" borderId="43" xfId="0" applyNumberForma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2" fontId="1" fillId="6" borderId="43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2" fontId="13" fillId="0" borderId="15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6" borderId="52" xfId="0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2" fontId="0" fillId="0" borderId="52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/>
    </xf>
    <xf numFmtId="0" fontId="0" fillId="6" borderId="56" xfId="0" applyFill="1" applyBorder="1" applyAlignment="1">
      <alignment vertical="center" wrapText="1"/>
    </xf>
    <xf numFmtId="2" fontId="0" fillId="6" borderId="49" xfId="0" applyNumberFormat="1" applyFill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49" xfId="0" applyBorder="1" applyAlignment="1">
      <alignment horizontal="center" vertical="center"/>
    </xf>
    <xf numFmtId="2" fontId="0" fillId="0" borderId="14" xfId="0" applyNumberFormat="1" applyBorder="1" applyAlignment="1">
      <alignment vertical="center"/>
    </xf>
    <xf numFmtId="2" fontId="0" fillId="0" borderId="56" xfId="0" applyNumberFormat="1" applyBorder="1" applyAlignment="1">
      <alignment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0" fillId="0" borderId="26" xfId="0" applyBorder="1" applyAlignment="1">
      <alignment horizontal="left" wrapText="1"/>
    </xf>
    <xf numFmtId="0" fontId="0" fillId="0" borderId="33" xfId="0" applyBorder="1" applyAlignment="1">
      <alignment horizontal="left" vertical="center" wrapText="1"/>
    </xf>
    <xf numFmtId="0" fontId="0" fillId="0" borderId="33" xfId="0" applyBorder="1" applyAlignment="1">
      <alignment wrapText="1"/>
    </xf>
    <xf numFmtId="10" fontId="1" fillId="4" borderId="10" xfId="3" applyNumberFormat="1" applyFont="1" applyFill="1" applyBorder="1" applyAlignment="1">
      <alignment horizontal="center"/>
    </xf>
    <xf numFmtId="10" fontId="1" fillId="4" borderId="13" xfId="0" applyNumberFormat="1" applyFont="1" applyFill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10" fontId="1" fillId="0" borderId="52" xfId="0" applyNumberFormat="1" applyFont="1" applyBorder="1" applyAlignment="1">
      <alignment horizontal="center"/>
    </xf>
    <xf numFmtId="167" fontId="0" fillId="0" borderId="52" xfId="4" applyNumberFormat="1" applyFont="1" applyBorder="1" applyAlignment="1">
      <alignment horizontal="center" vertical="center"/>
    </xf>
    <xf numFmtId="10" fontId="0" fillId="0" borderId="5" xfId="3" applyNumberFormat="1" applyFont="1" applyBorder="1"/>
    <xf numFmtId="0" fontId="0" fillId="0" borderId="31" xfId="0" applyBorder="1" applyAlignment="1">
      <alignment vertical="center" wrapText="1"/>
    </xf>
    <xf numFmtId="4" fontId="0" fillId="0" borderId="31" xfId="0" applyNumberFormat="1" applyBorder="1" applyAlignment="1">
      <alignment wrapText="1"/>
    </xf>
    <xf numFmtId="166" fontId="0" fillId="0" borderId="31" xfId="0" applyNumberFormat="1" applyBorder="1" applyAlignment="1">
      <alignment wrapText="1"/>
    </xf>
    <xf numFmtId="10" fontId="9" fillId="0" borderId="32" xfId="3" applyNumberFormat="1" applyFont="1" applyBorder="1" applyAlignment="1"/>
    <xf numFmtId="0" fontId="0" fillId="0" borderId="13" xfId="0" applyBorder="1" applyAlignment="1">
      <alignment vertical="center"/>
    </xf>
    <xf numFmtId="2" fontId="0" fillId="0" borderId="14" xfId="0" applyNumberFormat="1" applyBorder="1" applyAlignment="1">
      <alignment vertical="center" wrapText="1"/>
    </xf>
    <xf numFmtId="17" fontId="0" fillId="6" borderId="14" xfId="0" applyNumberForma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63" xfId="0" applyFont="1" applyBorder="1" applyAlignment="1">
      <alignment horizontal="right"/>
    </xf>
    <xf numFmtId="2" fontId="1" fillId="0" borderId="64" xfId="0" applyNumberFormat="1" applyFont="1" applyBorder="1" applyAlignment="1">
      <alignment horizontal="center" vertical="center"/>
    </xf>
    <xf numFmtId="169" fontId="0" fillId="0" borderId="14" xfId="4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69" fontId="0" fillId="0" borderId="52" xfId="4" applyNumberFormat="1" applyFon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6" fillId="6" borderId="34" xfId="0" applyFont="1" applyFill="1" applyBorder="1" applyAlignment="1">
      <alignment vertical="center"/>
    </xf>
    <xf numFmtId="0" fontId="6" fillId="6" borderId="3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5" fillId="4" borderId="21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" fillId="6" borderId="14" xfId="0" applyFont="1" applyFill="1" applyBorder="1" applyAlignment="1">
      <alignment horizontal="center" vertical="center" wrapText="1"/>
    </xf>
    <xf numFmtId="171" fontId="2" fillId="6" borderId="14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/>
    </xf>
    <xf numFmtId="0" fontId="0" fillId="6" borderId="19" xfId="0" applyFill="1" applyBorder="1" applyAlignment="1">
      <alignment vertical="center" wrapText="1"/>
    </xf>
    <xf numFmtId="4" fontId="0" fillId="0" borderId="14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2" fillId="0" borderId="0" xfId="0" applyFont="1"/>
    <xf numFmtId="0" fontId="19" fillId="0" borderId="0" xfId="8" applyFont="1"/>
    <xf numFmtId="0" fontId="19" fillId="0" borderId="0" xfId="8" applyFont="1" applyAlignment="1">
      <alignment vertical="center"/>
    </xf>
    <xf numFmtId="173" fontId="18" fillId="0" borderId="65" xfId="0" applyNumberFormat="1" applyFont="1" applyBorder="1" applyAlignment="1" applyProtection="1">
      <alignment horizontal="center" vertical="center" wrapText="1"/>
      <protection locked="0"/>
    </xf>
    <xf numFmtId="174" fontId="18" fillId="0" borderId="65" xfId="8" applyNumberFormat="1" applyFont="1" applyBorder="1" applyAlignment="1" applyProtection="1">
      <alignment horizontal="left" vertical="center" wrapText="1"/>
      <protection locked="0"/>
    </xf>
    <xf numFmtId="0" fontId="18" fillId="6" borderId="65" xfId="10" applyFont="1" applyFill="1" applyBorder="1" applyAlignment="1" applyProtection="1">
      <alignment horizontal="center" vertical="center" wrapText="1"/>
      <protection locked="0"/>
    </xf>
    <xf numFmtId="4" fontId="18" fillId="0" borderId="65" xfId="9" applyNumberFormat="1" applyFont="1" applyFill="1" applyBorder="1" applyAlignment="1">
      <alignment horizontal="center" vertical="center" wrapText="1"/>
    </xf>
    <xf numFmtId="4" fontId="18" fillId="0" borderId="65" xfId="8" applyNumberFormat="1" applyFont="1" applyBorder="1" applyAlignment="1">
      <alignment horizontal="center" vertical="center" wrapText="1"/>
    </xf>
    <xf numFmtId="4" fontId="19" fillId="0" borderId="0" xfId="8" applyNumberFormat="1" applyFont="1" applyAlignment="1">
      <alignment vertical="center"/>
    </xf>
    <xf numFmtId="43" fontId="19" fillId="0" borderId="0" xfId="8" applyNumberFormat="1" applyFont="1" applyAlignment="1">
      <alignment vertical="center"/>
    </xf>
    <xf numFmtId="164" fontId="19" fillId="0" borderId="0" xfId="2" applyFont="1" applyBorder="1" applyAlignment="1">
      <alignment vertical="center"/>
    </xf>
    <xf numFmtId="43" fontId="16" fillId="6" borderId="14" xfId="8" applyNumberFormat="1" applyFont="1" applyFill="1" applyBorder="1" applyAlignment="1">
      <alignment vertical="center"/>
    </xf>
    <xf numFmtId="44" fontId="19" fillId="0" borderId="0" xfId="8" applyNumberFormat="1" applyFont="1" applyAlignment="1">
      <alignment vertical="center"/>
    </xf>
    <xf numFmtId="0" fontId="19" fillId="0" borderId="0" xfId="8" applyFont="1" applyAlignment="1">
      <alignment horizontal="center" vertical="center"/>
    </xf>
    <xf numFmtId="175" fontId="19" fillId="0" borderId="0" xfId="8" applyNumberFormat="1" applyFont="1" applyAlignment="1">
      <alignment vertical="center"/>
    </xf>
    <xf numFmtId="172" fontId="19" fillId="0" borderId="0" xfId="11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20" fillId="2" borderId="65" xfId="8" applyFont="1" applyFill="1" applyBorder="1" applyAlignment="1">
      <alignment horizontal="center" vertical="center" wrapText="1"/>
    </xf>
    <xf numFmtId="4" fontId="20" fillId="2" borderId="65" xfId="7" applyNumberFormat="1" applyFont="1" applyFill="1" applyBorder="1" applyAlignment="1">
      <alignment horizontal="center" vertical="center" wrapText="1"/>
    </xf>
    <xf numFmtId="0" fontId="20" fillId="2" borderId="66" xfId="8" applyFont="1" applyFill="1" applyBorder="1" applyAlignment="1" applyProtection="1">
      <alignment horizontal="centerContinuous" vertical="center"/>
      <protection locked="0"/>
    </xf>
    <xf numFmtId="4" fontId="20" fillId="2" borderId="66" xfId="8" applyNumberFormat="1" applyFont="1" applyFill="1" applyBorder="1" applyAlignment="1" applyProtection="1">
      <alignment horizontal="centerContinuous" vertical="center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4" fontId="20" fillId="2" borderId="67" xfId="8" applyNumberFormat="1" applyFont="1" applyFill="1" applyBorder="1" applyAlignment="1">
      <alignment horizontal="center" vertical="center" wrapText="1"/>
    </xf>
    <xf numFmtId="4" fontId="20" fillId="2" borderId="68" xfId="8" applyNumberFormat="1" applyFont="1" applyFill="1" applyBorder="1" applyAlignment="1">
      <alignment horizontal="center" vertical="center" wrapText="1"/>
    </xf>
    <xf numFmtId="4" fontId="18" fillId="0" borderId="67" xfId="8" applyNumberFormat="1" applyFont="1" applyBorder="1" applyAlignment="1">
      <alignment horizontal="center" vertical="center" wrapText="1"/>
    </xf>
    <xf numFmtId="4" fontId="11" fillId="0" borderId="4" xfId="7" applyNumberFormat="1" applyFont="1" applyBorder="1" applyAlignment="1">
      <alignment horizontal="center" vertical="center"/>
    </xf>
    <xf numFmtId="4" fontId="11" fillId="0" borderId="0" xfId="7" applyNumberFormat="1" applyFont="1" applyBorder="1" applyAlignment="1">
      <alignment horizontal="center" vertical="center"/>
    </xf>
    <xf numFmtId="43" fontId="10" fillId="0" borderId="5" xfId="7" applyFont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10" fontId="0" fillId="0" borderId="38" xfId="0" applyNumberFormat="1" applyBorder="1" applyAlignment="1">
      <alignment horizontal="center" vertical="center"/>
    </xf>
    <xf numFmtId="10" fontId="0" fillId="6" borderId="43" xfId="3" applyNumberFormat="1" applyFont="1" applyFill="1" applyBorder="1" applyAlignment="1">
      <alignment horizontal="center" vertical="center"/>
    </xf>
    <xf numFmtId="10" fontId="1" fillId="4" borderId="51" xfId="0" applyNumberFormat="1" applyFont="1" applyFill="1" applyBorder="1" applyAlignment="1">
      <alignment horizontal="center" vertical="center"/>
    </xf>
    <xf numFmtId="10" fontId="1" fillId="4" borderId="5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4" fontId="9" fillId="0" borderId="31" xfId="0" applyNumberFormat="1" applyFont="1" applyBorder="1" applyAlignment="1">
      <alignment wrapText="1"/>
    </xf>
    <xf numFmtId="0" fontId="1" fillId="7" borderId="3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69" xfId="0" applyFont="1" applyFill="1" applyBorder="1" applyAlignment="1">
      <alignment horizontal="center" vertical="center"/>
    </xf>
    <xf numFmtId="164" fontId="1" fillId="7" borderId="38" xfId="4" applyNumberFormat="1" applyFont="1" applyFill="1" applyBorder="1" applyAlignment="1">
      <alignment horizontal="center" vertical="center" wrapText="1"/>
    </xf>
    <xf numFmtId="10" fontId="1" fillId="7" borderId="38" xfId="3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20" fillId="2" borderId="70" xfId="8" applyFont="1" applyFill="1" applyBorder="1" applyAlignment="1">
      <alignment horizontal="center" vertical="center" wrapText="1"/>
    </xf>
    <xf numFmtId="0" fontId="20" fillId="2" borderId="71" xfId="8" applyFont="1" applyFill="1" applyBorder="1" applyAlignment="1" applyProtection="1">
      <alignment horizontal="centerContinuous" vertical="center"/>
      <protection locked="0"/>
    </xf>
    <xf numFmtId="173" fontId="18" fillId="0" borderId="70" xfId="0" applyNumberFormat="1" applyFont="1" applyBorder="1" applyAlignment="1" applyProtection="1">
      <alignment horizontal="center" vertical="center" wrapText="1"/>
      <protection locked="0"/>
    </xf>
    <xf numFmtId="0" fontId="21" fillId="0" borderId="72" xfId="8" applyFont="1" applyBorder="1" applyAlignment="1">
      <alignment vertical="center" wrapText="1"/>
    </xf>
    <xf numFmtId="0" fontId="21" fillId="0" borderId="73" xfId="8" applyFont="1" applyBorder="1" applyAlignment="1">
      <alignment vertical="center" wrapText="1"/>
    </xf>
    <xf numFmtId="4" fontId="21" fillId="0" borderId="73" xfId="8" applyNumberFormat="1" applyFont="1" applyBorder="1" applyAlignment="1">
      <alignment vertical="center" wrapText="1"/>
    </xf>
    <xf numFmtId="0" fontId="18" fillId="0" borderId="73" xfId="8" applyFont="1" applyBorder="1" applyAlignment="1">
      <alignment horizontal="center" vertical="center" wrapText="1"/>
    </xf>
    <xf numFmtId="175" fontId="21" fillId="0" borderId="73" xfId="8" applyNumberFormat="1" applyFont="1" applyBorder="1" applyAlignment="1">
      <alignment horizontal="right" vertical="center"/>
    </xf>
    <xf numFmtId="4" fontId="21" fillId="0" borderId="74" xfId="8" applyNumberFormat="1" applyFont="1" applyBorder="1" applyAlignment="1">
      <alignment horizontal="center" vertical="center" wrapText="1"/>
    </xf>
    <xf numFmtId="0" fontId="21" fillId="0" borderId="0" xfId="8" applyFont="1" applyBorder="1" applyAlignment="1">
      <alignment vertical="center" wrapText="1"/>
    </xf>
    <xf numFmtId="4" fontId="21" fillId="0" borderId="0" xfId="8" applyNumberFormat="1" applyFont="1" applyBorder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175" fontId="21" fillId="0" borderId="0" xfId="8" applyNumberFormat="1" applyFont="1" applyBorder="1" applyAlignment="1">
      <alignment horizontal="right" vertical="center"/>
    </xf>
    <xf numFmtId="4" fontId="21" fillId="0" borderId="0" xfId="8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0" fillId="0" borderId="0" xfId="0" applyNumberFormat="1" applyBorder="1"/>
    <xf numFmtId="166" fontId="0" fillId="0" borderId="0" xfId="0" applyNumberFormat="1" applyBorder="1"/>
    <xf numFmtId="0" fontId="3" fillId="6" borderId="0" xfId="0" applyFont="1" applyFill="1" applyBorder="1"/>
    <xf numFmtId="0" fontId="1" fillId="6" borderId="0" xfId="0" applyFont="1" applyFill="1" applyBorder="1"/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0" fontId="9" fillId="0" borderId="0" xfId="0" applyFont="1" applyBorder="1"/>
    <xf numFmtId="166" fontId="9" fillId="0" borderId="0" xfId="0" applyNumberFormat="1" applyFont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43" fontId="1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43" fontId="5" fillId="6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6" fillId="0" borderId="35" xfId="4" applyFont="1" applyBorder="1" applyAlignment="1" applyProtection="1">
      <alignment horizontal="center" vertical="center"/>
      <protection locked="0"/>
    </xf>
    <xf numFmtId="44" fontId="6" fillId="0" borderId="18" xfId="4" applyFont="1" applyBorder="1" applyAlignment="1" applyProtection="1">
      <alignment horizontal="center" vertical="center"/>
      <protection locked="0"/>
    </xf>
    <xf numFmtId="44" fontId="6" fillId="0" borderId="35" xfId="4" applyFont="1" applyBorder="1" applyAlignment="1" applyProtection="1">
      <alignment horizontal="center" vertical="center"/>
    </xf>
    <xf numFmtId="44" fontId="6" fillId="0" borderId="29" xfId="4" applyFont="1" applyBorder="1" applyAlignment="1" applyProtection="1">
      <alignment horizontal="center" vertical="center"/>
    </xf>
    <xf numFmtId="44" fontId="6" fillId="0" borderId="33" xfId="4" applyFont="1" applyBorder="1" applyAlignment="1" applyProtection="1">
      <alignment horizontal="center" vertical="center"/>
      <protection locked="0"/>
    </xf>
    <xf numFmtId="44" fontId="6" fillId="0" borderId="34" xfId="4" applyFont="1" applyBorder="1" applyAlignment="1" applyProtection="1">
      <alignment horizontal="center" vertical="center"/>
      <protection locked="0"/>
    </xf>
    <xf numFmtId="44" fontId="6" fillId="0" borderId="33" xfId="4" applyFont="1" applyBorder="1" applyAlignment="1" applyProtection="1">
      <alignment horizontal="center" vertical="center"/>
    </xf>
    <xf numFmtId="44" fontId="6" fillId="0" borderId="14" xfId="4" applyFont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44" fontId="6" fillId="0" borderId="33" xfId="4" applyFont="1" applyBorder="1" applyAlignment="1">
      <alignment horizontal="center" vertical="center"/>
    </xf>
    <xf numFmtId="44" fontId="6" fillId="0" borderId="34" xfId="4" applyFont="1" applyBorder="1" applyAlignment="1">
      <alignment horizontal="center" vertical="center"/>
    </xf>
    <xf numFmtId="44" fontId="6" fillId="6" borderId="33" xfId="4" applyFont="1" applyFill="1" applyBorder="1" applyAlignment="1" applyProtection="1">
      <alignment horizontal="center" vertical="center"/>
    </xf>
    <xf numFmtId="44" fontId="6" fillId="6" borderId="29" xfId="4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44" fontId="7" fillId="0" borderId="14" xfId="4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right" vertical="center"/>
    </xf>
    <xf numFmtId="0" fontId="5" fillId="4" borderId="30" xfId="0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right" vertical="center"/>
    </xf>
    <xf numFmtId="0" fontId="5" fillId="4" borderId="32" xfId="0" applyFont="1" applyFill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4" fontId="6" fillId="0" borderId="14" xfId="4" applyFont="1" applyBorder="1" applyAlignment="1" applyProtection="1">
      <alignment horizontal="center" vertical="center"/>
    </xf>
    <xf numFmtId="44" fontId="6" fillId="0" borderId="15" xfId="4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4" fontId="6" fillId="0" borderId="58" xfId="4" applyFont="1" applyBorder="1" applyAlignment="1" applyProtection="1">
      <alignment horizontal="center" vertical="center"/>
    </xf>
    <xf numFmtId="44" fontId="6" fillId="0" borderId="57" xfId="4" applyFont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4" fontId="6" fillId="0" borderId="33" xfId="4" applyFont="1" applyFill="1" applyBorder="1" applyAlignment="1" applyProtection="1">
      <alignment horizontal="center" vertical="center"/>
    </xf>
    <xf numFmtId="44" fontId="6" fillId="0" borderId="29" xfId="4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44" fontId="6" fillId="0" borderId="58" xfId="4" applyFont="1" applyFill="1" applyBorder="1" applyAlignment="1" applyProtection="1">
      <alignment horizontal="center" vertical="center"/>
    </xf>
    <xf numFmtId="44" fontId="6" fillId="0" borderId="57" xfId="4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>
      <alignment horizontal="right" vertical="center" wrapText="1"/>
    </xf>
    <xf numFmtId="0" fontId="5" fillId="4" borderId="22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44" fontId="5" fillId="2" borderId="21" xfId="4" applyFont="1" applyFill="1" applyBorder="1" applyAlignment="1" applyProtection="1">
      <alignment horizontal="center" vertical="center"/>
    </xf>
    <xf numFmtId="44" fontId="5" fillId="2" borderId="23" xfId="4" applyFont="1" applyFill="1" applyBorder="1" applyAlignment="1" applyProtection="1">
      <alignment horizontal="center" vertical="center"/>
    </xf>
    <xf numFmtId="44" fontId="5" fillId="0" borderId="21" xfId="4" applyFont="1" applyBorder="1" applyAlignment="1" applyProtection="1">
      <alignment horizontal="center" vertical="center" wrapText="1"/>
    </xf>
    <xf numFmtId="44" fontId="5" fillId="0" borderId="23" xfId="4" applyFont="1" applyBorder="1" applyAlignment="1" applyProtection="1">
      <alignment horizontal="center" vertical="center" wrapText="1"/>
    </xf>
    <xf numFmtId="44" fontId="6" fillId="0" borderId="14" xfId="4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44" fontId="6" fillId="0" borderId="19" xfId="4" applyFont="1" applyBorder="1" applyAlignment="1" applyProtection="1">
      <alignment horizontal="center" vertical="center"/>
    </xf>
    <xf numFmtId="44" fontId="6" fillId="0" borderId="20" xfId="4" applyFont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2" fontId="0" fillId="0" borderId="56" xfId="0" applyNumberFormat="1" applyBorder="1" applyAlignment="1">
      <alignment horizontal="center" vertical="center"/>
    </xf>
    <xf numFmtId="168" fontId="0" fillId="0" borderId="33" xfId="0" applyNumberFormat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2" fontId="0" fillId="0" borderId="50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1" fillId="0" borderId="52" xfId="0" applyFont="1" applyBorder="1" applyAlignment="1">
      <alignment horizontal="right"/>
    </xf>
    <xf numFmtId="2" fontId="0" fillId="0" borderId="56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2" fontId="0" fillId="6" borderId="33" xfId="0" applyNumberFormat="1" applyFill="1" applyBorder="1" applyAlignment="1">
      <alignment horizontal="center" vertical="center" wrapText="1"/>
    </xf>
    <xf numFmtId="2" fontId="0" fillId="6" borderId="34" xfId="0" applyNumberFormat="1" applyFill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0" fontId="0" fillId="0" borderId="36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34" xfId="0" applyBorder="1" applyAlignment="1">
      <alignment horizontal="right" wrapText="1"/>
    </xf>
    <xf numFmtId="2" fontId="0" fillId="0" borderId="14" xfId="0" applyNumberFormat="1" applyBorder="1" applyAlignment="1">
      <alignment horizontal="center" vertical="center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0" borderId="46" xfId="0" applyBorder="1" applyAlignment="1">
      <alignment horizontal="right" wrapText="1"/>
    </xf>
    <xf numFmtId="2" fontId="0" fillId="6" borderId="33" xfId="0" applyNumberFormat="1" applyFill="1" applyBorder="1" applyAlignment="1">
      <alignment horizontal="center" vertical="center"/>
    </xf>
    <xf numFmtId="2" fontId="0" fillId="6" borderId="34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2" fontId="0" fillId="0" borderId="48" xfId="0" applyNumberFormat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2" fontId="0" fillId="0" borderId="58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2" fontId="0" fillId="6" borderId="47" xfId="0" applyNumberFormat="1" applyFill="1" applyBorder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2" fontId="0" fillId="6" borderId="50" xfId="0" applyNumberFormat="1" applyFill="1" applyBorder="1" applyAlignment="1">
      <alignment horizontal="center" vertical="center"/>
    </xf>
    <xf numFmtId="0" fontId="1" fillId="0" borderId="4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9" fontId="0" fillId="0" borderId="33" xfId="3" applyFont="1" applyBorder="1" applyAlignment="1" applyProtection="1">
      <alignment horizontal="center" vertical="center"/>
    </xf>
    <xf numFmtId="9" fontId="0" fillId="0" borderId="34" xfId="3" applyFont="1" applyBorder="1" applyAlignment="1" applyProtection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36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34" xfId="0" applyBorder="1" applyAlignment="1">
      <alignment horizontal="right"/>
    </xf>
    <xf numFmtId="0" fontId="1" fillId="0" borderId="44" xfId="0" applyFont="1" applyBorder="1" applyAlignment="1">
      <alignment horizontal="right" wrapText="1"/>
    </xf>
    <xf numFmtId="0" fontId="1" fillId="0" borderId="45" xfId="0" applyFont="1" applyBorder="1" applyAlignment="1">
      <alignment horizontal="right" wrapText="1"/>
    </xf>
    <xf numFmtId="0" fontId="1" fillId="0" borderId="46" xfId="0" applyFont="1" applyBorder="1" applyAlignment="1">
      <alignment horizontal="right" wrapText="1"/>
    </xf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54" xfId="0" applyFont="1" applyBorder="1" applyAlignment="1">
      <alignment horizontal="right"/>
    </xf>
    <xf numFmtId="2" fontId="0" fillId="0" borderId="3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0" fillId="0" borderId="49" xfId="0" applyNumberFormat="1" applyBorder="1" applyAlignment="1">
      <alignment horizontal="center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6" borderId="44" xfId="0" applyFont="1" applyFill="1" applyBorder="1" applyAlignment="1">
      <alignment horizontal="right"/>
    </xf>
    <xf numFmtId="0" fontId="1" fillId="6" borderId="45" xfId="0" applyFont="1" applyFill="1" applyBorder="1" applyAlignment="1">
      <alignment horizontal="right"/>
    </xf>
    <xf numFmtId="0" fontId="1" fillId="6" borderId="46" xfId="0" applyFont="1" applyFill="1" applyBorder="1" applyAlignment="1">
      <alignment horizontal="right"/>
    </xf>
    <xf numFmtId="0" fontId="0" fillId="0" borderId="47" xfId="0" applyBorder="1" applyAlignment="1">
      <alignment horizontal="center"/>
    </xf>
    <xf numFmtId="0" fontId="1" fillId="0" borderId="56" xfId="0" applyFont="1" applyBorder="1" applyAlignment="1">
      <alignment horizontal="left" vertical="center" wrapText="1"/>
    </xf>
    <xf numFmtId="2" fontId="0" fillId="0" borderId="52" xfId="0" applyNumberForma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4" fontId="10" fillId="0" borderId="21" xfId="7" applyNumberFormat="1" applyFont="1" applyBorder="1" applyAlignment="1">
      <alignment horizontal="left" vertical="center"/>
    </xf>
    <xf numFmtId="4" fontId="10" fillId="0" borderId="22" xfId="7" applyNumberFormat="1" applyFont="1" applyBorder="1" applyAlignment="1">
      <alignment horizontal="left" vertical="center"/>
    </xf>
    <xf numFmtId="4" fontId="10" fillId="0" borderId="23" xfId="7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0" fontId="0" fillId="6" borderId="37" xfId="3" applyNumberFormat="1" applyFont="1" applyFill="1" applyBorder="1" applyAlignment="1">
      <alignment horizontal="center" vertical="center"/>
    </xf>
    <xf numFmtId="10" fontId="0" fillId="6" borderId="38" xfId="3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167" fontId="0" fillId="0" borderId="37" xfId="4" applyNumberFormat="1" applyFont="1" applyBorder="1" applyAlignment="1">
      <alignment horizontal="center" vertical="center" wrapText="1"/>
    </xf>
    <xf numFmtId="167" fontId="0" fillId="0" borderId="38" xfId="4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0" fontId="0" fillId="6" borderId="14" xfId="0" applyNumberFormat="1" applyFill="1" applyBorder="1" applyAlignment="1">
      <alignment horizontal="center" vertical="center" wrapText="1"/>
    </xf>
    <xf numFmtId="170" fontId="0" fillId="6" borderId="15" xfId="0" applyNumberForma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right" vertical="center" wrapText="1"/>
    </xf>
    <xf numFmtId="2" fontId="1" fillId="0" borderId="52" xfId="0" applyNumberFormat="1" applyFont="1" applyBorder="1" applyAlignment="1">
      <alignment horizontal="right" vertical="center" wrapText="1"/>
    </xf>
    <xf numFmtId="4" fontId="1" fillId="0" borderId="52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/>
    </xf>
    <xf numFmtId="17" fontId="1" fillId="6" borderId="2" xfId="0" applyNumberFormat="1" applyFont="1" applyFill="1" applyBorder="1" applyAlignment="1">
      <alignment horizontal="center"/>
    </xf>
    <xf numFmtId="17" fontId="1" fillId="6" borderId="3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7" fontId="1" fillId="6" borderId="4" xfId="0" applyNumberFormat="1" applyFont="1" applyFill="1" applyBorder="1" applyAlignment="1">
      <alignment horizontal="center"/>
    </xf>
    <xf numFmtId="17" fontId="1" fillId="6" borderId="0" xfId="0" applyNumberFormat="1" applyFont="1" applyFill="1" applyBorder="1" applyAlignment="1">
      <alignment horizontal="center"/>
    </xf>
    <xf numFmtId="17" fontId="1" fillId="6" borderId="5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7" fontId="15" fillId="6" borderId="4" xfId="1" applyNumberFormat="1" applyFont="1" applyFill="1" applyBorder="1" applyAlignment="1">
      <alignment horizontal="center"/>
    </xf>
    <xf numFmtId="17" fontId="15" fillId="6" borderId="0" xfId="1" applyNumberFormat="1" applyFont="1" applyFill="1" applyBorder="1" applyAlignment="1">
      <alignment horizontal="center"/>
    </xf>
    <xf numFmtId="17" fontId="15" fillId="6" borderId="5" xfId="1" applyNumberFormat="1" applyFont="1" applyFill="1" applyBorder="1" applyAlignment="1">
      <alignment horizontal="center"/>
    </xf>
    <xf numFmtId="0" fontId="17" fillId="4" borderId="5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59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0" fontId="0" fillId="0" borderId="14" xfId="0" applyNumberFormat="1" applyBorder="1" applyAlignment="1">
      <alignment horizontal="center" vertical="center" wrapText="1"/>
    </xf>
    <xf numFmtId="170" fontId="0" fillId="0" borderId="15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0" fillId="0" borderId="51" xfId="0" applyBorder="1" applyAlignment="1">
      <alignment horizontal="right"/>
    </xf>
    <xf numFmtId="0" fontId="0" fillId="0" borderId="52" xfId="0" applyBorder="1" applyAlignment="1">
      <alignment horizontal="right"/>
    </xf>
    <xf numFmtId="166" fontId="0" fillId="0" borderId="52" xfId="0" applyNumberFormat="1" applyBorder="1" applyAlignment="1">
      <alignment horizontal="center"/>
    </xf>
    <xf numFmtId="166" fontId="0" fillId="0" borderId="4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</cellXfs>
  <cellStyles count="13">
    <cellStyle name="Moeda" xfId="4" builtinId="4"/>
    <cellStyle name="Moeda 2" xfId="2"/>
    <cellStyle name="Normal" xfId="0" builtinId="0"/>
    <cellStyle name="Normal 2 2 2 3" xfId="8"/>
    <cellStyle name="Normal 2 2 3" xfId="10"/>
    <cellStyle name="Normal 3" xfId="1"/>
    <cellStyle name="Normal 4" xfId="5"/>
    <cellStyle name="Porcentagem" xfId="3" builtinId="5"/>
    <cellStyle name="Porcentagem 2" xfId="12"/>
    <cellStyle name="Porcentagem 2 3" xfId="9"/>
    <cellStyle name="Vírgula" xfId="7" builtinId="3"/>
    <cellStyle name="Vírgula 10 2" xfId="11"/>
    <cellStyle name="Vírgula 5" xfId="6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235528</xdr:colOff>
      <xdr:row>0</xdr:row>
      <xdr:rowOff>110836</xdr:rowOff>
    </xdr:from>
    <xdr:to>
      <xdr:col>3</xdr:col>
      <xdr:colOff>69821</xdr:colOff>
      <xdr:row>5</xdr:row>
      <xdr:rowOff>96982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BBF047-6B94-45BC-9889-4F9D9233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8" y="110836"/>
          <a:ext cx="2535929" cy="886691"/>
        </a:xfrm>
        <a:prstGeom prst="rect">
          <a:avLst/>
        </a:prstGeom>
      </xdr:spPr>
    </xdr:pic>
    <xdr:clientData/>
  </xdr:twoCellAnchor>
  <xdr:twoCellAnchor editAs="oneCell">
    <xdr:from>
      <xdr:col>8</xdr:col>
      <xdr:colOff>187417</xdr:colOff>
      <xdr:row>0</xdr:row>
      <xdr:rowOff>81050</xdr:rowOff>
    </xdr:from>
    <xdr:to>
      <xdr:col>10</xdr:col>
      <xdr:colOff>1080137</xdr:colOff>
      <xdr:row>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23B0A9F-A4EC-4807-9678-BCB425D5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4399" y="81050"/>
          <a:ext cx="1987229" cy="791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0</xdr:row>
      <xdr:rowOff>98612</xdr:rowOff>
    </xdr:from>
    <xdr:to>
      <xdr:col>3</xdr:col>
      <xdr:colOff>642762</xdr:colOff>
      <xdr:row>5</xdr:row>
      <xdr:rowOff>53788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C33AD80-42A0-4D7D-B10C-401079AE9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2" y="98612"/>
          <a:ext cx="2435703" cy="851647"/>
        </a:xfrm>
        <a:prstGeom prst="rect">
          <a:avLst/>
        </a:prstGeom>
      </xdr:spPr>
    </xdr:pic>
    <xdr:clientData/>
  </xdr:twoCellAnchor>
  <xdr:twoCellAnchor editAs="oneCell">
    <xdr:from>
      <xdr:col>7</xdr:col>
      <xdr:colOff>842943</xdr:colOff>
      <xdr:row>0</xdr:row>
      <xdr:rowOff>98164</xdr:rowOff>
    </xdr:from>
    <xdr:to>
      <xdr:col>9</xdr:col>
      <xdr:colOff>596043</xdr:colOff>
      <xdr:row>4</xdr:row>
      <xdr:rowOff>143435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F3B8637-08C0-4489-95AB-21B0A9D1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9531" y="98164"/>
          <a:ext cx="1913594" cy="762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1</xdr:col>
      <xdr:colOff>799861</xdr:colOff>
      <xdr:row>4</xdr:row>
      <xdr:rowOff>83819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100"/>
          <a:ext cx="2222897" cy="777239"/>
        </a:xfrm>
        <a:prstGeom prst="rect">
          <a:avLst/>
        </a:prstGeom>
      </xdr:spPr>
    </xdr:pic>
    <xdr:clientData/>
  </xdr:twoCellAnchor>
  <xdr:twoCellAnchor editAs="oneCell">
    <xdr:from>
      <xdr:col>8</xdr:col>
      <xdr:colOff>236968</xdr:colOff>
      <xdr:row>0</xdr:row>
      <xdr:rowOff>91440</xdr:rowOff>
    </xdr:from>
    <xdr:to>
      <xdr:col>9</xdr:col>
      <xdr:colOff>990602</xdr:colOff>
      <xdr:row>4</xdr:row>
      <xdr:rowOff>60960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376C21F-570C-4879-96C8-AAAB0783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288" y="91440"/>
          <a:ext cx="1759474" cy="701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97972</xdr:colOff>
      <xdr:row>0</xdr:row>
      <xdr:rowOff>130628</xdr:rowOff>
    </xdr:from>
    <xdr:to>
      <xdr:col>1</xdr:col>
      <xdr:colOff>2228081</xdr:colOff>
      <xdr:row>5</xdr:row>
      <xdr:rowOff>163285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E502-6750-41DD-ACFA-6AA7CAE71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130628"/>
          <a:ext cx="2739709" cy="957943"/>
        </a:xfrm>
        <a:prstGeom prst="rect">
          <a:avLst/>
        </a:prstGeom>
      </xdr:spPr>
    </xdr:pic>
    <xdr:clientData/>
  </xdr:twoCellAnchor>
  <xdr:twoCellAnchor editAs="oneCell">
    <xdr:from>
      <xdr:col>13</xdr:col>
      <xdr:colOff>572605</xdr:colOff>
      <xdr:row>0</xdr:row>
      <xdr:rowOff>75111</xdr:rowOff>
    </xdr:from>
    <xdr:to>
      <xdr:col>15</xdr:col>
      <xdr:colOff>927737</xdr:colOff>
      <xdr:row>5</xdr:row>
      <xdr:rowOff>119742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C16837-4336-4520-9418-138B2AA7C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0205" y="75111"/>
          <a:ext cx="2434303" cy="969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10</xdr:row>
          <xdr:rowOff>30480</xdr:rowOff>
        </xdr:from>
        <xdr:to>
          <xdr:col>2</xdr:col>
          <xdr:colOff>30480</xdr:colOff>
          <xdr:row>15</xdr:row>
          <xdr:rowOff>76200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62753</xdr:colOff>
      <xdr:row>0</xdr:row>
      <xdr:rowOff>55516</xdr:rowOff>
    </xdr:from>
    <xdr:to>
      <xdr:col>2</xdr:col>
      <xdr:colOff>812814</xdr:colOff>
      <xdr:row>4</xdr:row>
      <xdr:rowOff>26895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06AA4CF-CC0E-41AE-A2C8-2FC926A3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3" y="55516"/>
          <a:ext cx="1969261" cy="688555"/>
        </a:xfrm>
        <a:prstGeom prst="rect">
          <a:avLst/>
        </a:prstGeom>
      </xdr:spPr>
    </xdr:pic>
    <xdr:clientData/>
  </xdr:twoCellAnchor>
  <xdr:twoCellAnchor editAs="oneCell">
    <xdr:from>
      <xdr:col>7</xdr:col>
      <xdr:colOff>116541</xdr:colOff>
      <xdr:row>0</xdr:row>
      <xdr:rowOff>89647</xdr:rowOff>
    </xdr:from>
    <xdr:to>
      <xdr:col>8</xdr:col>
      <xdr:colOff>838181</xdr:colOff>
      <xdr:row>3</xdr:row>
      <xdr:rowOff>178621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16F2C5B-85D3-4E24-AB24-02E04D36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482" y="89647"/>
          <a:ext cx="1573287" cy="626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63136</xdr:rowOff>
    </xdr:from>
    <xdr:to>
      <xdr:col>1</xdr:col>
      <xdr:colOff>819781</xdr:colOff>
      <xdr:row>4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CA52E8E-D0BB-4D17-A038-6EA76458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1" y="63136"/>
          <a:ext cx="1955160" cy="683624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0</xdr:row>
      <xdr:rowOff>91439</xdr:rowOff>
    </xdr:from>
    <xdr:to>
      <xdr:col>6</xdr:col>
      <xdr:colOff>506501</xdr:colOff>
      <xdr:row>3</xdr:row>
      <xdr:rowOff>124120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3F671CD-681B-45F2-822B-986CC7402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1439"/>
          <a:ext cx="1459001" cy="581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</xdr:colOff>
      <xdr:row>0</xdr:row>
      <xdr:rowOff>106680</xdr:rowOff>
    </xdr:from>
    <xdr:to>
      <xdr:col>2</xdr:col>
      <xdr:colOff>728466</xdr:colOff>
      <xdr:row>5</xdr:row>
      <xdr:rowOff>30480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7CE381-0239-4244-97C1-D556DB1B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" y="106680"/>
          <a:ext cx="2397247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410615</xdr:colOff>
      <xdr:row>0</xdr:row>
      <xdr:rowOff>74024</xdr:rowOff>
    </xdr:from>
    <xdr:to>
      <xdr:col>8</xdr:col>
      <xdr:colOff>874697</xdr:colOff>
      <xdr:row>4</xdr:row>
      <xdr:rowOff>73588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3D57B5-3EDB-4A76-8F22-FD73E5CC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233" y="74024"/>
          <a:ext cx="183568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30"/>
  <sheetViews>
    <sheetView tabSelected="1" zoomScale="55" zoomScaleNormal="55" workbookViewId="0">
      <pane ySplit="13" topLeftCell="A14" activePane="bottomLeft" state="frozen"/>
      <selection activeCell="A11" sqref="A11"/>
      <selection pane="bottomLeft" activeCell="K430" sqref="A1:K430"/>
    </sheetView>
  </sheetViews>
  <sheetFormatPr defaultColWidth="8.88671875" defaultRowHeight="15.6" x14ac:dyDescent="0.3"/>
  <cols>
    <col min="1" max="1" width="6.5546875" style="48" customWidth="1"/>
    <col min="2" max="2" width="20.5546875" style="48" customWidth="1"/>
    <col min="3" max="3" width="12.33203125" style="48" customWidth="1"/>
    <col min="4" max="4" width="77.109375" style="160" bestFit="1" customWidth="1"/>
    <col min="5" max="5" width="12.33203125" style="47" bestFit="1" customWidth="1"/>
    <col min="6" max="6" width="8.5546875" style="48" customWidth="1"/>
    <col min="7" max="7" width="15.33203125" style="49" bestFit="1" customWidth="1"/>
    <col min="8" max="8" width="15.44140625" style="49" customWidth="1"/>
    <col min="9" max="9" width="8.6640625" style="133" customWidth="1"/>
    <col min="10" max="10" width="7.33203125" style="49" bestFit="1" customWidth="1"/>
    <col min="11" max="11" width="18.44140625" style="49" bestFit="1" customWidth="1"/>
    <col min="13" max="13" width="12.33203125" bestFit="1" customWidth="1"/>
    <col min="14" max="14" width="13.33203125" bestFit="1" customWidth="1"/>
  </cols>
  <sheetData>
    <row r="1" spans="1:66" ht="14.4" x14ac:dyDescent="0.3">
      <c r="A1" s="538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40"/>
    </row>
    <row r="2" spans="1:66" ht="14.4" x14ac:dyDescent="0.3">
      <c r="A2" s="541" t="s">
        <v>1310</v>
      </c>
      <c r="B2" s="542"/>
      <c r="C2" s="542"/>
      <c r="D2" s="542"/>
      <c r="E2" s="542"/>
      <c r="F2" s="542"/>
      <c r="G2" s="542"/>
      <c r="H2" s="542"/>
      <c r="I2" s="542"/>
      <c r="J2" s="542"/>
      <c r="K2" s="543"/>
    </row>
    <row r="3" spans="1:66" ht="14.4" x14ac:dyDescent="0.3">
      <c r="A3" s="541" t="s">
        <v>736</v>
      </c>
      <c r="B3" s="542"/>
      <c r="C3" s="542"/>
      <c r="D3" s="542"/>
      <c r="E3" s="542"/>
      <c r="F3" s="542"/>
      <c r="G3" s="542"/>
      <c r="H3" s="542"/>
      <c r="I3" s="542"/>
      <c r="J3" s="542"/>
      <c r="K3" s="543"/>
    </row>
    <row r="4" spans="1:66" ht="14.4" x14ac:dyDescent="0.3">
      <c r="A4" s="541" t="s">
        <v>737</v>
      </c>
      <c r="B4" s="542"/>
      <c r="C4" s="542"/>
      <c r="D4" s="542"/>
      <c r="E4" s="542"/>
      <c r="F4" s="542"/>
      <c r="G4" s="542"/>
      <c r="H4" s="542"/>
      <c r="I4" s="542"/>
      <c r="J4" s="542"/>
      <c r="K4" s="543"/>
    </row>
    <row r="5" spans="1:66" ht="14.4" x14ac:dyDescent="0.3">
      <c r="A5" s="541" t="s">
        <v>1302</v>
      </c>
      <c r="B5" s="542"/>
      <c r="C5" s="542"/>
      <c r="D5" s="542"/>
      <c r="E5" s="542"/>
      <c r="F5" s="542"/>
      <c r="G5" s="542"/>
      <c r="H5" s="542"/>
      <c r="I5" s="542"/>
      <c r="J5" s="542"/>
      <c r="K5" s="543"/>
    </row>
    <row r="6" spans="1:66" ht="14.4" x14ac:dyDescent="0.3">
      <c r="A6" s="541" t="s">
        <v>1303</v>
      </c>
      <c r="B6" s="542"/>
      <c r="C6" s="542"/>
      <c r="D6" s="542"/>
      <c r="E6" s="542"/>
      <c r="F6" s="542"/>
      <c r="G6" s="542"/>
      <c r="H6" s="542"/>
      <c r="I6" s="542"/>
      <c r="J6" s="542"/>
      <c r="K6" s="543"/>
    </row>
    <row r="7" spans="1:66" ht="14.4" x14ac:dyDescent="0.3">
      <c r="A7" s="541" t="s">
        <v>1304</v>
      </c>
      <c r="B7" s="542"/>
      <c r="C7" s="542"/>
      <c r="D7" s="542"/>
      <c r="E7" s="542"/>
      <c r="F7" s="542"/>
      <c r="G7" s="542"/>
      <c r="H7" s="542"/>
      <c r="I7" s="542"/>
      <c r="J7" s="542"/>
      <c r="K7" s="543"/>
    </row>
    <row r="8" spans="1:66" ht="15" customHeight="1" x14ac:dyDescent="0.3">
      <c r="A8" s="546" t="s">
        <v>1301</v>
      </c>
      <c r="B8" s="542"/>
      <c r="C8" s="542"/>
      <c r="D8" s="542"/>
      <c r="E8" s="542"/>
      <c r="F8" s="542"/>
      <c r="G8" s="542"/>
      <c r="H8" s="542"/>
      <c r="I8" s="542"/>
      <c r="J8" s="542"/>
      <c r="K8" s="543"/>
    </row>
    <row r="9" spans="1:66" ht="15" customHeight="1" x14ac:dyDescent="0.3">
      <c r="A9" s="376"/>
      <c r="B9" s="470"/>
      <c r="C9" s="470"/>
      <c r="D9" s="470"/>
      <c r="E9" s="470"/>
      <c r="F9" s="470"/>
      <c r="G9" s="470"/>
      <c r="H9" s="470"/>
      <c r="I9" s="470"/>
      <c r="J9" s="471">
        <f>BDI!J21</f>
        <v>23.88</v>
      </c>
      <c r="K9" s="415" t="s">
        <v>568</v>
      </c>
    </row>
    <row r="10" spans="1:66" ht="15" customHeight="1" x14ac:dyDescent="0.3">
      <c r="A10" s="376"/>
      <c r="B10" s="470"/>
      <c r="C10" s="470"/>
      <c r="D10" s="470"/>
      <c r="E10" s="470"/>
      <c r="F10" s="470"/>
      <c r="G10" s="470"/>
      <c r="H10" s="470"/>
      <c r="I10" s="470"/>
      <c r="J10" s="471">
        <f>BDI!J13</f>
        <v>26.51</v>
      </c>
      <c r="K10" s="415" t="s">
        <v>1299</v>
      </c>
    </row>
    <row r="11" spans="1:66" x14ac:dyDescent="0.3">
      <c r="A11" s="414"/>
      <c r="B11" s="472"/>
      <c r="C11" s="472"/>
      <c r="D11" s="472"/>
      <c r="E11" s="472"/>
      <c r="F11" s="472"/>
      <c r="G11" s="472"/>
      <c r="H11" s="472"/>
      <c r="I11" s="472"/>
      <c r="J11" s="473">
        <f>BDI!J17</f>
        <v>17.239999999999998</v>
      </c>
      <c r="K11" s="415" t="s">
        <v>1300</v>
      </c>
    </row>
    <row r="12" spans="1:66" ht="16.2" thickBot="1" x14ac:dyDescent="0.35">
      <c r="A12" s="552" t="s">
        <v>1228</v>
      </c>
      <c r="B12" s="553"/>
      <c r="C12" s="553"/>
      <c r="D12" s="553"/>
      <c r="E12" s="553"/>
      <c r="F12" s="553"/>
      <c r="G12" s="553"/>
      <c r="H12" s="553"/>
      <c r="I12" s="553"/>
      <c r="J12" s="553"/>
      <c r="K12" s="554"/>
    </row>
    <row r="13" spans="1:66" ht="16.2" thickBot="1" x14ac:dyDescent="0.35">
      <c r="A13" s="33" t="s">
        <v>1</v>
      </c>
      <c r="B13" s="544" t="s">
        <v>2</v>
      </c>
      <c r="C13" s="545"/>
      <c r="D13" s="31" t="s">
        <v>3</v>
      </c>
      <c r="E13" s="32" t="s">
        <v>4</v>
      </c>
      <c r="F13" s="33" t="s">
        <v>5</v>
      </c>
      <c r="G13" s="34" t="s">
        <v>6</v>
      </c>
      <c r="H13" s="34" t="s">
        <v>7</v>
      </c>
      <c r="I13" s="126" t="s">
        <v>568</v>
      </c>
      <c r="J13" s="547" t="s">
        <v>9</v>
      </c>
      <c r="K13" s="548"/>
    </row>
    <row r="14" spans="1:66" ht="16.2" thickBot="1" x14ac:dyDescent="0.35">
      <c r="A14" s="530" t="s">
        <v>10</v>
      </c>
      <c r="B14" s="531"/>
      <c r="C14" s="531"/>
      <c r="D14" s="531"/>
      <c r="E14" s="531"/>
      <c r="F14" s="531"/>
      <c r="G14" s="531"/>
      <c r="H14" s="531"/>
      <c r="I14" s="531"/>
      <c r="J14" s="531"/>
      <c r="K14" s="532"/>
    </row>
    <row r="15" spans="1:66" x14ac:dyDescent="0.3">
      <c r="A15" s="135">
        <v>1</v>
      </c>
      <c r="B15" s="140" t="s">
        <v>11</v>
      </c>
      <c r="C15" s="140">
        <v>20000</v>
      </c>
      <c r="D15" s="526" t="s">
        <v>12</v>
      </c>
      <c r="E15" s="526"/>
      <c r="F15" s="526"/>
      <c r="G15" s="526"/>
      <c r="H15" s="526"/>
      <c r="I15" s="526"/>
      <c r="J15" s="526"/>
      <c r="K15" s="527"/>
    </row>
    <row r="16" spans="1:66" s="167" customFormat="1" x14ac:dyDescent="0.3">
      <c r="A16" s="177" t="s">
        <v>13</v>
      </c>
      <c r="B16" s="178" t="s">
        <v>11</v>
      </c>
      <c r="C16" s="36">
        <v>20190</v>
      </c>
      <c r="D16" s="196" t="s">
        <v>1233</v>
      </c>
      <c r="E16" s="179">
        <f>'MEMÓRIA DE CÁLCULO'!J16</f>
        <v>17056.310000000001</v>
      </c>
      <c r="F16" s="178" t="s">
        <v>15</v>
      </c>
      <c r="G16" s="282">
        <v>0.2</v>
      </c>
      <c r="H16" s="282">
        <v>0</v>
      </c>
      <c r="I16" s="185">
        <v>0.23880000000000001</v>
      </c>
      <c r="J16" s="528">
        <f>(G16)*E16*1.2388</f>
        <v>4225.8713656</v>
      </c>
      <c r="K16" s="52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66" s="167" customFormat="1" ht="47.4" thickBot="1" x14ac:dyDescent="0.35">
      <c r="A17" s="177" t="s">
        <v>16</v>
      </c>
      <c r="B17" s="178" t="s">
        <v>11</v>
      </c>
      <c r="C17" s="36">
        <v>20107</v>
      </c>
      <c r="D17" s="196" t="s">
        <v>563</v>
      </c>
      <c r="E17" s="179">
        <f>'MEMÓRIA DE CÁLCULO'!J19</f>
        <v>2</v>
      </c>
      <c r="F17" s="178" t="s">
        <v>569</v>
      </c>
      <c r="G17" s="282">
        <v>0</v>
      </c>
      <c r="H17" s="282">
        <v>431.95</v>
      </c>
      <c r="I17" s="185">
        <v>0.23880000000000001</v>
      </c>
      <c r="J17" s="528">
        <f>(G17+H17)*E17*1.2388</f>
        <v>1070.1993199999999</v>
      </c>
      <c r="K17" s="52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18" spans="1:66" ht="16.2" thickBot="1" x14ac:dyDescent="0.35">
      <c r="A18" s="505" t="s">
        <v>8</v>
      </c>
      <c r="B18" s="506"/>
      <c r="C18" s="506"/>
      <c r="D18" s="506"/>
      <c r="E18" s="506"/>
      <c r="F18" s="506"/>
      <c r="G18" s="506"/>
      <c r="H18" s="506"/>
      <c r="I18" s="506"/>
      <c r="J18" s="507"/>
      <c r="K18" s="40">
        <f>SUM(J16:K17)</f>
        <v>5296.0706855999997</v>
      </c>
    </row>
    <row r="19" spans="1:66" ht="16.2" thickBot="1" x14ac:dyDescent="0.35">
      <c r="A19" s="495" t="s">
        <v>17</v>
      </c>
      <c r="B19" s="496"/>
      <c r="C19" s="496"/>
      <c r="D19" s="496"/>
      <c r="E19" s="496"/>
      <c r="F19" s="496"/>
      <c r="G19" s="496"/>
      <c r="H19" s="496"/>
      <c r="I19" s="496"/>
      <c r="J19" s="496"/>
      <c r="K19" s="497"/>
    </row>
    <row r="20" spans="1:66" x14ac:dyDescent="0.3">
      <c r="A20" s="135">
        <v>2</v>
      </c>
      <c r="B20" s="140" t="s">
        <v>11</v>
      </c>
      <c r="C20" s="140">
        <v>30000</v>
      </c>
      <c r="D20" s="526" t="s">
        <v>18</v>
      </c>
      <c r="E20" s="526"/>
      <c r="F20" s="526"/>
      <c r="G20" s="526"/>
      <c r="H20" s="526"/>
      <c r="I20" s="526"/>
      <c r="J20" s="526"/>
      <c r="K20" s="527"/>
    </row>
    <row r="21" spans="1:66" ht="31.2" x14ac:dyDescent="0.3">
      <c r="A21" s="137" t="s">
        <v>19</v>
      </c>
      <c r="B21" s="39" t="s">
        <v>11</v>
      </c>
      <c r="C21" s="39">
        <v>30105</v>
      </c>
      <c r="D21" s="197" t="s">
        <v>586</v>
      </c>
      <c r="E21" s="38">
        <f>'MEMÓRIA DE CÁLCULO'!J27</f>
        <v>196.84550000000002</v>
      </c>
      <c r="F21" s="39" t="s">
        <v>72</v>
      </c>
      <c r="G21" s="184">
        <v>66.67</v>
      </c>
      <c r="H21" s="184">
        <v>6.9</v>
      </c>
      <c r="I21" s="185">
        <v>0.23880000000000001</v>
      </c>
      <c r="J21" s="528">
        <f>(G21+H21)*E21*1.2388</f>
        <v>17940.206751278001</v>
      </c>
      <c r="K21" s="529"/>
    </row>
    <row r="22" spans="1:66" ht="16.2" thickBot="1" x14ac:dyDescent="0.35">
      <c r="A22" s="137" t="s">
        <v>585</v>
      </c>
      <c r="B22" s="39" t="s">
        <v>11</v>
      </c>
      <c r="C22" s="39">
        <v>30106</v>
      </c>
      <c r="D22" s="197" t="s">
        <v>590</v>
      </c>
      <c r="E22" s="38">
        <f>'MEMÓRIA DE CÁLCULO'!J30</f>
        <v>2132.0387500000002</v>
      </c>
      <c r="F22" s="39" t="s">
        <v>83</v>
      </c>
      <c r="G22" s="184">
        <v>36.86</v>
      </c>
      <c r="H22" s="184">
        <v>0</v>
      </c>
      <c r="I22" s="185">
        <v>0.23880000000000001</v>
      </c>
      <c r="J22" s="533">
        <f>(G22+H22)*E22*1.2388</f>
        <v>97353.511585009997</v>
      </c>
      <c r="K22" s="534"/>
    </row>
    <row r="23" spans="1:66" ht="16.2" thickBot="1" x14ac:dyDescent="0.35">
      <c r="A23" s="505" t="s">
        <v>8</v>
      </c>
      <c r="B23" s="506"/>
      <c r="C23" s="506"/>
      <c r="D23" s="506"/>
      <c r="E23" s="506"/>
      <c r="F23" s="506"/>
      <c r="G23" s="506"/>
      <c r="H23" s="506"/>
      <c r="I23" s="506"/>
      <c r="J23" s="507"/>
      <c r="K23" s="40">
        <f>J21+J22</f>
        <v>115293.718336288</v>
      </c>
    </row>
    <row r="24" spans="1:66" ht="16.2" thickBot="1" x14ac:dyDescent="0.35">
      <c r="A24" s="495" t="s">
        <v>20</v>
      </c>
      <c r="B24" s="496"/>
      <c r="C24" s="496"/>
      <c r="D24" s="496"/>
      <c r="E24" s="496"/>
      <c r="F24" s="496"/>
      <c r="G24" s="496"/>
      <c r="H24" s="496"/>
      <c r="I24" s="496"/>
      <c r="J24" s="496"/>
      <c r="K24" s="497"/>
    </row>
    <row r="25" spans="1:66" x14ac:dyDescent="0.3">
      <c r="A25" s="135">
        <v>3</v>
      </c>
      <c r="B25" s="140" t="s">
        <v>11</v>
      </c>
      <c r="C25" s="140">
        <v>40000</v>
      </c>
      <c r="D25" s="526" t="s">
        <v>21</v>
      </c>
      <c r="E25" s="526"/>
      <c r="F25" s="526"/>
      <c r="G25" s="526"/>
      <c r="H25" s="526"/>
      <c r="I25" s="526"/>
      <c r="J25" s="526"/>
      <c r="K25" s="527"/>
    </row>
    <row r="26" spans="1:66" x14ac:dyDescent="0.3">
      <c r="A26" s="136" t="s">
        <v>771</v>
      </c>
      <c r="B26" s="36" t="s">
        <v>61</v>
      </c>
      <c r="C26" s="36">
        <v>6081</v>
      </c>
      <c r="D26" s="196" t="s">
        <v>731</v>
      </c>
      <c r="E26" s="35">
        <f>(1571.84*1.1)*1.3</f>
        <v>2247.7312000000002</v>
      </c>
      <c r="F26" s="36" t="s">
        <v>72</v>
      </c>
      <c r="G26" s="491">
        <v>73.099999999999994</v>
      </c>
      <c r="H26" s="492"/>
      <c r="I26" s="134">
        <v>0.23880000000000001</v>
      </c>
      <c r="J26" s="493">
        <f>(G26+H26)*E26*1.2388</f>
        <v>203546.17591193598</v>
      </c>
      <c r="K26" s="490"/>
    </row>
    <row r="27" spans="1:66" x14ac:dyDescent="0.3">
      <c r="A27" s="136" t="s">
        <v>772</v>
      </c>
      <c r="B27" s="36" t="s">
        <v>11</v>
      </c>
      <c r="C27" s="36">
        <v>41003</v>
      </c>
      <c r="D27" s="196" t="s">
        <v>780</v>
      </c>
      <c r="E27" s="35">
        <f>'MEMÓRIA DE CÁLCULO'!J40</f>
        <v>123.85874999999999</v>
      </c>
      <c r="F27" s="36" t="s">
        <v>83</v>
      </c>
      <c r="G27" s="281">
        <v>0</v>
      </c>
      <c r="H27" s="281">
        <v>21.24</v>
      </c>
      <c r="I27" s="134">
        <v>0.23880000000000001</v>
      </c>
      <c r="J27" s="528">
        <f>(G27+H27)*E27*1.2388</f>
        <v>3258.9853021799991</v>
      </c>
      <c r="K27" s="529"/>
    </row>
    <row r="28" spans="1:66" x14ac:dyDescent="0.3">
      <c r="A28" s="136" t="s">
        <v>773</v>
      </c>
      <c r="B28" s="36" t="s">
        <v>11</v>
      </c>
      <c r="C28" s="36">
        <v>41002</v>
      </c>
      <c r="D28" s="196" t="s">
        <v>781</v>
      </c>
      <c r="E28" s="35">
        <f>E27</f>
        <v>123.85874999999999</v>
      </c>
      <c r="F28" s="36" t="s">
        <v>83</v>
      </c>
      <c r="G28" s="281">
        <v>0</v>
      </c>
      <c r="H28" s="281">
        <v>4.25</v>
      </c>
      <c r="I28" s="134">
        <v>0.23880000000000001</v>
      </c>
      <c r="J28" s="528">
        <f>(G28+H28)*E28*1.2388</f>
        <v>652.10393287499983</v>
      </c>
      <c r="K28" s="529"/>
    </row>
    <row r="29" spans="1:66" ht="16.2" thickBot="1" x14ac:dyDescent="0.35">
      <c r="A29" s="136" t="s">
        <v>76</v>
      </c>
      <c r="B29" s="36" t="s">
        <v>11</v>
      </c>
      <c r="C29" s="36">
        <v>40902</v>
      </c>
      <c r="D29" s="196" t="s">
        <v>75</v>
      </c>
      <c r="E29" s="35">
        <f>E26</f>
        <v>2247.7312000000002</v>
      </c>
      <c r="F29" s="36" t="s">
        <v>72</v>
      </c>
      <c r="G29" s="281">
        <v>0</v>
      </c>
      <c r="H29" s="281">
        <v>18.05</v>
      </c>
      <c r="I29" s="134">
        <v>0.23880000000000001</v>
      </c>
      <c r="J29" s="528">
        <f t="shared" ref="J29" si="0">(G29+H29)*E29*1.2388</f>
        <v>50260.033860608004</v>
      </c>
      <c r="K29" s="529"/>
    </row>
    <row r="30" spans="1:66" ht="16.2" thickBot="1" x14ac:dyDescent="0.35">
      <c r="A30" s="505" t="s">
        <v>8</v>
      </c>
      <c r="B30" s="506"/>
      <c r="C30" s="506"/>
      <c r="D30" s="506"/>
      <c r="E30" s="506"/>
      <c r="F30" s="506"/>
      <c r="G30" s="506"/>
      <c r="H30" s="506"/>
      <c r="I30" s="506"/>
      <c r="J30" s="507"/>
      <c r="K30" s="40">
        <f>SUM(J26:K29)</f>
        <v>257717.29900759898</v>
      </c>
    </row>
    <row r="31" spans="1:66" ht="16.2" thickBot="1" x14ac:dyDescent="0.35">
      <c r="A31" s="530" t="s">
        <v>22</v>
      </c>
      <c r="B31" s="531"/>
      <c r="C31" s="531"/>
      <c r="D31" s="531"/>
      <c r="E31" s="531"/>
      <c r="F31" s="531"/>
      <c r="G31" s="531"/>
      <c r="H31" s="531"/>
      <c r="I31" s="531"/>
      <c r="J31" s="531"/>
      <c r="K31" s="532"/>
    </row>
    <row r="32" spans="1:66" x14ac:dyDescent="0.3">
      <c r="A32" s="135">
        <v>4</v>
      </c>
      <c r="B32" s="140" t="s">
        <v>23</v>
      </c>
      <c r="C32" s="140">
        <v>50000</v>
      </c>
      <c r="D32" s="526" t="s">
        <v>24</v>
      </c>
      <c r="E32" s="526"/>
      <c r="F32" s="526"/>
      <c r="G32" s="526"/>
      <c r="H32" s="526"/>
      <c r="I32" s="526"/>
      <c r="J32" s="526"/>
      <c r="K32" s="527"/>
    </row>
    <row r="33" spans="1:11" x14ac:dyDescent="0.3">
      <c r="A33" s="136" t="s">
        <v>87</v>
      </c>
      <c r="B33" s="36" t="s">
        <v>11</v>
      </c>
      <c r="C33" s="36">
        <v>50302</v>
      </c>
      <c r="D33" s="196" t="s">
        <v>80</v>
      </c>
      <c r="E33" s="35">
        <f>'MEMÓRIA DE CÁLCULO'!J53</f>
        <v>1502</v>
      </c>
      <c r="F33" s="36" t="s">
        <v>221</v>
      </c>
      <c r="G33" s="281">
        <v>30.28</v>
      </c>
      <c r="H33" s="281">
        <v>29.92</v>
      </c>
      <c r="I33" s="134">
        <v>0.23880000000000001</v>
      </c>
      <c r="J33" s="528">
        <f>(G33+H33)*E33*1.2388</f>
        <v>112012.79152</v>
      </c>
      <c r="K33" s="529"/>
    </row>
    <row r="34" spans="1:11" x14ac:dyDescent="0.3">
      <c r="A34" s="136" t="s">
        <v>88</v>
      </c>
      <c r="B34" s="36" t="s">
        <v>11</v>
      </c>
      <c r="C34" s="36">
        <v>50901</v>
      </c>
      <c r="D34" s="196" t="s">
        <v>81</v>
      </c>
      <c r="E34" s="35">
        <f>'MEMÓRIA DE CÁLCULO'!J59</f>
        <v>49.342999999999989</v>
      </c>
      <c r="F34" s="36" t="s">
        <v>72</v>
      </c>
      <c r="G34" s="281">
        <v>0</v>
      </c>
      <c r="H34" s="281">
        <v>34.51</v>
      </c>
      <c r="I34" s="134">
        <v>0.23880000000000001</v>
      </c>
      <c r="J34" s="528">
        <f t="shared" ref="J34:J44" si="1">(G34+H34)*E34*1.2388</f>
        <v>2109.4620008839993</v>
      </c>
      <c r="K34" s="529"/>
    </row>
    <row r="35" spans="1:11" x14ac:dyDescent="0.3">
      <c r="A35" s="136" t="s">
        <v>89</v>
      </c>
      <c r="B35" s="36" t="s">
        <v>11</v>
      </c>
      <c r="C35" s="36">
        <v>50902</v>
      </c>
      <c r="D35" s="196" t="s">
        <v>82</v>
      </c>
      <c r="E35" s="35">
        <f>'MEMÓRIA DE CÁLCULO'!J65</f>
        <v>88.339999999999989</v>
      </c>
      <c r="F35" s="36" t="s">
        <v>14</v>
      </c>
      <c r="G35" s="281">
        <v>0</v>
      </c>
      <c r="H35" s="281">
        <v>4.25</v>
      </c>
      <c r="I35" s="134">
        <v>0.23880000000000001</v>
      </c>
      <c r="J35" s="528">
        <f t="shared" si="1"/>
        <v>465.1012659999999</v>
      </c>
      <c r="K35" s="529"/>
    </row>
    <row r="36" spans="1:11" x14ac:dyDescent="0.3">
      <c r="A36" s="136" t="s">
        <v>90</v>
      </c>
      <c r="B36" s="36" t="s">
        <v>11</v>
      </c>
      <c r="C36" s="36">
        <v>51009</v>
      </c>
      <c r="D36" s="196" t="s">
        <v>334</v>
      </c>
      <c r="E36" s="35">
        <f>'MEMÓRIA DE CÁLCULO'!J72</f>
        <v>198.60500000000002</v>
      </c>
      <c r="F36" s="36" t="s">
        <v>15</v>
      </c>
      <c r="G36" s="281">
        <v>32.11</v>
      </c>
      <c r="H36" s="281">
        <v>37.26</v>
      </c>
      <c r="I36" s="134">
        <v>0.23880000000000001</v>
      </c>
      <c r="J36" s="528">
        <f t="shared" si="1"/>
        <v>17067.231099380002</v>
      </c>
      <c r="K36" s="529"/>
    </row>
    <row r="37" spans="1:11" x14ac:dyDescent="0.3">
      <c r="A37" s="136" t="s">
        <v>91</v>
      </c>
      <c r="B37" s="36" t="s">
        <v>11</v>
      </c>
      <c r="C37" s="36">
        <v>51036</v>
      </c>
      <c r="D37" s="296" t="s">
        <v>1199</v>
      </c>
      <c r="E37" s="35">
        <f>'MEMÓRIA DE CÁLCULO'!J79</f>
        <v>56.480000000000004</v>
      </c>
      <c r="F37" s="36" t="s">
        <v>83</v>
      </c>
      <c r="G37" s="281">
        <v>574.91999999999996</v>
      </c>
      <c r="H37" s="281">
        <v>0</v>
      </c>
      <c r="I37" s="134">
        <v>0.23880000000000001</v>
      </c>
      <c r="J37" s="493">
        <f t="shared" si="1"/>
        <v>40225.671406079993</v>
      </c>
      <c r="K37" s="490"/>
    </row>
    <row r="38" spans="1:11" ht="31.2" x14ac:dyDescent="0.3">
      <c r="A38" s="136" t="s">
        <v>92</v>
      </c>
      <c r="B38" s="36" t="s">
        <v>11</v>
      </c>
      <c r="C38" s="36">
        <v>51060</v>
      </c>
      <c r="D38" s="296" t="s">
        <v>1200</v>
      </c>
      <c r="E38" s="35">
        <f>E37</f>
        <v>56.480000000000004</v>
      </c>
      <c r="F38" s="36" t="s">
        <v>72</v>
      </c>
      <c r="G38" s="281">
        <v>0.1</v>
      </c>
      <c r="H38" s="281">
        <v>32.18</v>
      </c>
      <c r="I38" s="134">
        <v>0.23880000000000001</v>
      </c>
      <c r="J38" s="493">
        <f t="shared" si="1"/>
        <v>2258.5484467199999</v>
      </c>
      <c r="K38" s="490"/>
    </row>
    <row r="39" spans="1:11" x14ac:dyDescent="0.3">
      <c r="A39" s="136" t="s">
        <v>93</v>
      </c>
      <c r="B39" s="36" t="s">
        <v>11</v>
      </c>
      <c r="C39" s="36">
        <v>52003</v>
      </c>
      <c r="D39" s="196" t="s">
        <v>739</v>
      </c>
      <c r="E39" s="35">
        <f>'MEMÓRIA DE CÁLCULO'!J89</f>
        <v>242.07</v>
      </c>
      <c r="F39" s="36" t="s">
        <v>84</v>
      </c>
      <c r="G39" s="281">
        <v>10.29</v>
      </c>
      <c r="H39" s="281">
        <v>2.29</v>
      </c>
      <c r="I39" s="134">
        <v>0.23880000000000001</v>
      </c>
      <c r="J39" s="493">
        <f t="shared" si="1"/>
        <v>3772.4440552799992</v>
      </c>
      <c r="K39" s="490"/>
    </row>
    <row r="40" spans="1:11" x14ac:dyDescent="0.3">
      <c r="A40" s="136" t="s">
        <v>325</v>
      </c>
      <c r="B40" s="36" t="s">
        <v>11</v>
      </c>
      <c r="C40" s="36">
        <v>52004</v>
      </c>
      <c r="D40" s="196" t="s">
        <v>324</v>
      </c>
      <c r="E40" s="35">
        <f>'MEMÓRIA DE CÁLCULO'!J95</f>
        <v>1550.1600000000003</v>
      </c>
      <c r="F40" s="36" t="s">
        <v>84</v>
      </c>
      <c r="G40" s="281">
        <v>9.86</v>
      </c>
      <c r="H40" s="281">
        <v>2.29</v>
      </c>
      <c r="I40" s="134">
        <v>0.23880000000000001</v>
      </c>
      <c r="J40" s="493">
        <f t="shared" si="1"/>
        <v>23332.109227200002</v>
      </c>
      <c r="K40" s="490"/>
    </row>
    <row r="41" spans="1:11" x14ac:dyDescent="0.3">
      <c r="A41" s="136" t="s">
        <v>335</v>
      </c>
      <c r="B41" s="36" t="s">
        <v>11</v>
      </c>
      <c r="C41" s="36">
        <v>52005</v>
      </c>
      <c r="D41" s="196" t="s">
        <v>85</v>
      </c>
      <c r="E41" s="35">
        <f>'MEMÓRIA DE CÁLCULO'!J101</f>
        <v>1089.99</v>
      </c>
      <c r="F41" s="36" t="s">
        <v>84</v>
      </c>
      <c r="G41" s="281">
        <v>9.56</v>
      </c>
      <c r="H41" s="281">
        <v>2.29</v>
      </c>
      <c r="I41" s="134">
        <v>0.23880000000000001</v>
      </c>
      <c r="J41" s="493">
        <f t="shared" si="1"/>
        <v>16000.813402199999</v>
      </c>
      <c r="K41" s="490"/>
    </row>
    <row r="42" spans="1:11" x14ac:dyDescent="0.3">
      <c r="A42" s="136" t="s">
        <v>774</v>
      </c>
      <c r="B42" s="36" t="s">
        <v>11</v>
      </c>
      <c r="C42" s="36">
        <v>52006</v>
      </c>
      <c r="D42" s="196" t="s">
        <v>696</v>
      </c>
      <c r="E42" s="35">
        <f>'MEMÓRIA DE CÁLCULO'!J104</f>
        <v>220.8</v>
      </c>
      <c r="F42" s="36" t="s">
        <v>86</v>
      </c>
      <c r="G42" s="281">
        <v>9.7200000000000006</v>
      </c>
      <c r="H42" s="281">
        <v>2.86</v>
      </c>
      <c r="I42" s="134">
        <v>0.23880000000000001</v>
      </c>
      <c r="J42" s="493">
        <f t="shared" si="1"/>
        <v>3440.9701632000001</v>
      </c>
      <c r="K42" s="490"/>
    </row>
    <row r="43" spans="1:11" x14ac:dyDescent="0.3">
      <c r="A43" s="136" t="s">
        <v>775</v>
      </c>
      <c r="B43" s="36" t="s">
        <v>11</v>
      </c>
      <c r="C43" s="36">
        <v>52008</v>
      </c>
      <c r="D43" s="196" t="s">
        <v>694</v>
      </c>
      <c r="E43" s="35">
        <f>'MEMÓRIA DE CÁLCULO'!J107</f>
        <v>81.900000000000006</v>
      </c>
      <c r="F43" s="36" t="s">
        <v>86</v>
      </c>
      <c r="G43" s="281">
        <v>9.94</v>
      </c>
      <c r="H43" s="281">
        <v>2.86</v>
      </c>
      <c r="I43" s="134">
        <v>0.23880000000000001</v>
      </c>
      <c r="J43" s="493">
        <f t="shared" si="1"/>
        <v>1298.6588159999999</v>
      </c>
      <c r="K43" s="490"/>
    </row>
    <row r="44" spans="1:11" x14ac:dyDescent="0.3">
      <c r="A44" s="136" t="s">
        <v>776</v>
      </c>
      <c r="B44" s="36" t="s">
        <v>11</v>
      </c>
      <c r="C44" s="36">
        <v>52014</v>
      </c>
      <c r="D44" s="196" t="s">
        <v>695</v>
      </c>
      <c r="E44" s="35">
        <f>'MEMÓRIA DE CÁLCULO'!J114</f>
        <v>1045.92</v>
      </c>
      <c r="F44" s="36" t="s">
        <v>86</v>
      </c>
      <c r="G44" s="281">
        <v>11.08</v>
      </c>
      <c r="H44" s="281">
        <v>2</v>
      </c>
      <c r="I44" s="134">
        <v>0.23880000000000001</v>
      </c>
      <c r="J44" s="493">
        <f t="shared" si="1"/>
        <v>16947.568903679999</v>
      </c>
      <c r="K44" s="490"/>
    </row>
    <row r="45" spans="1:11" ht="16.2" thickBot="1" x14ac:dyDescent="0.35">
      <c r="A45" s="513" t="s">
        <v>8</v>
      </c>
      <c r="B45" s="514"/>
      <c r="C45" s="514"/>
      <c r="D45" s="514"/>
      <c r="E45" s="514"/>
      <c r="F45" s="514"/>
      <c r="G45" s="514"/>
      <c r="H45" s="514"/>
      <c r="I45" s="514"/>
      <c r="J45" s="515"/>
      <c r="K45" s="158">
        <f>SUM(J33:K44)</f>
        <v>238931.37030662398</v>
      </c>
    </row>
    <row r="46" spans="1:11" ht="16.2" thickBot="1" x14ac:dyDescent="0.35">
      <c r="A46" s="530" t="s">
        <v>25</v>
      </c>
      <c r="B46" s="531"/>
      <c r="C46" s="531"/>
      <c r="D46" s="531"/>
      <c r="E46" s="531"/>
      <c r="F46" s="531"/>
      <c r="G46" s="531"/>
      <c r="H46" s="531"/>
      <c r="I46" s="531"/>
      <c r="J46" s="531"/>
      <c r="K46" s="532"/>
    </row>
    <row r="47" spans="1:11" x14ac:dyDescent="0.3">
      <c r="A47" s="135">
        <v>5</v>
      </c>
      <c r="B47" s="140" t="s">
        <v>23</v>
      </c>
      <c r="C47" s="140">
        <v>60000</v>
      </c>
      <c r="D47" s="526" t="s">
        <v>26</v>
      </c>
      <c r="E47" s="526"/>
      <c r="F47" s="526"/>
      <c r="G47" s="526"/>
      <c r="H47" s="526"/>
      <c r="I47" s="526"/>
      <c r="J47" s="526"/>
      <c r="K47" s="527"/>
    </row>
    <row r="48" spans="1:11" x14ac:dyDescent="0.3">
      <c r="A48" s="136" t="s">
        <v>337</v>
      </c>
      <c r="B48" s="36" t="s">
        <v>11</v>
      </c>
      <c r="C48" s="36">
        <v>60010</v>
      </c>
      <c r="D48" s="196" t="s">
        <v>327</v>
      </c>
      <c r="E48" s="35">
        <f>'MEMÓRIA DE CÁLCULO'!J128</f>
        <v>2.7744000000000004</v>
      </c>
      <c r="F48" s="36" t="s">
        <v>328</v>
      </c>
      <c r="G48" s="281">
        <v>2226.8000000000002</v>
      </c>
      <c r="H48" s="281">
        <v>578.38</v>
      </c>
      <c r="I48" s="134">
        <v>0.23880000000000001</v>
      </c>
      <c r="J48" s="493">
        <f>(G48+H48)*E48*1.2388</f>
        <v>9641.1980964096019</v>
      </c>
      <c r="K48" s="490"/>
    </row>
    <row r="49" spans="1:11" x14ac:dyDescent="0.3">
      <c r="A49" s="136" t="s">
        <v>338</v>
      </c>
      <c r="B49" s="36" t="s">
        <v>11</v>
      </c>
      <c r="C49" s="36">
        <v>60203</v>
      </c>
      <c r="D49" s="196" t="s">
        <v>329</v>
      </c>
      <c r="E49" s="35">
        <f>'MEMÓRIA DE CÁLCULO'!J138</f>
        <v>800.13</v>
      </c>
      <c r="F49" s="36" t="s">
        <v>330</v>
      </c>
      <c r="G49" s="281">
        <v>53.79</v>
      </c>
      <c r="H49" s="281">
        <v>35.4</v>
      </c>
      <c r="I49" s="134">
        <v>0.23880000000000001</v>
      </c>
      <c r="J49" s="493">
        <f t="shared" ref="J49:J59" si="2">(G49+H49)*E49*1.2388</f>
        <v>88405.22111436</v>
      </c>
      <c r="K49" s="490"/>
    </row>
    <row r="50" spans="1:11" x14ac:dyDescent="0.3">
      <c r="A50" s="136" t="s">
        <v>339</v>
      </c>
      <c r="B50" s="36" t="s">
        <v>11</v>
      </c>
      <c r="C50" s="36">
        <v>60303</v>
      </c>
      <c r="D50" s="196" t="s">
        <v>331</v>
      </c>
      <c r="E50" s="35">
        <f>'MEMÓRIA DE CÁLCULO'!J142</f>
        <v>2.8</v>
      </c>
      <c r="F50" s="36" t="s">
        <v>84</v>
      </c>
      <c r="G50" s="281">
        <v>10.29</v>
      </c>
      <c r="H50" s="281">
        <v>2.29</v>
      </c>
      <c r="I50" s="134">
        <v>0.23880000000000001</v>
      </c>
      <c r="J50" s="493">
        <f t="shared" si="2"/>
        <v>43.635491199999983</v>
      </c>
      <c r="K50" s="490"/>
    </row>
    <row r="51" spans="1:11" x14ac:dyDescent="0.3">
      <c r="A51" s="136" t="s">
        <v>340</v>
      </c>
      <c r="B51" s="36" t="s">
        <v>11</v>
      </c>
      <c r="C51" s="36">
        <v>60304</v>
      </c>
      <c r="D51" s="196" t="s">
        <v>355</v>
      </c>
      <c r="E51" s="35">
        <f>'MEMÓRIA DE CÁLCULO'!J149</f>
        <v>2101.3000000000002</v>
      </c>
      <c r="F51" s="36" t="s">
        <v>86</v>
      </c>
      <c r="G51" s="281">
        <v>9.86</v>
      </c>
      <c r="H51" s="281">
        <v>2.29</v>
      </c>
      <c r="I51" s="134">
        <v>0.23880000000000001</v>
      </c>
      <c r="J51" s="493">
        <f t="shared" si="2"/>
        <v>31627.548845999994</v>
      </c>
      <c r="K51" s="490"/>
    </row>
    <row r="52" spans="1:11" x14ac:dyDescent="0.3">
      <c r="A52" s="136" t="s">
        <v>341</v>
      </c>
      <c r="B52" s="36" t="s">
        <v>11</v>
      </c>
      <c r="C52" s="36">
        <v>60305</v>
      </c>
      <c r="D52" s="196" t="s">
        <v>332</v>
      </c>
      <c r="E52" s="35">
        <f>'MEMÓRIA DE CÁLCULO'!J158</f>
        <v>2076</v>
      </c>
      <c r="F52" s="36" t="s">
        <v>84</v>
      </c>
      <c r="G52" s="281">
        <v>9.56</v>
      </c>
      <c r="H52" s="281">
        <v>2.29</v>
      </c>
      <c r="I52" s="134">
        <v>0.23880000000000001</v>
      </c>
      <c r="J52" s="493">
        <f t="shared" si="2"/>
        <v>30475.223280000002</v>
      </c>
      <c r="K52" s="490"/>
    </row>
    <row r="53" spans="1:11" x14ac:dyDescent="0.3">
      <c r="A53" s="136" t="s">
        <v>342</v>
      </c>
      <c r="B53" s="36" t="s">
        <v>11</v>
      </c>
      <c r="C53" s="36">
        <v>60306</v>
      </c>
      <c r="D53" s="196" t="s">
        <v>336</v>
      </c>
      <c r="E53" s="35">
        <f>'MEMÓRIA DE CÁLCULO'!J163</f>
        <v>770.9</v>
      </c>
      <c r="F53" s="36" t="s">
        <v>84</v>
      </c>
      <c r="G53" s="281">
        <v>9.7200000000000006</v>
      </c>
      <c r="H53" s="281">
        <v>2.86</v>
      </c>
      <c r="I53" s="134">
        <v>0.23880000000000001</v>
      </c>
      <c r="J53" s="493">
        <f t="shared" si="2"/>
        <v>12013.785773600001</v>
      </c>
      <c r="K53" s="490"/>
    </row>
    <row r="54" spans="1:11" x14ac:dyDescent="0.3">
      <c r="A54" s="136" t="s">
        <v>343</v>
      </c>
      <c r="B54" s="36" t="s">
        <v>11</v>
      </c>
      <c r="C54" s="36">
        <v>60314</v>
      </c>
      <c r="D54" s="196" t="s">
        <v>374</v>
      </c>
      <c r="E54" s="35">
        <f>'MEMÓRIA DE CÁLCULO'!J173</f>
        <v>1693.4</v>
      </c>
      <c r="F54" s="36" t="s">
        <v>84</v>
      </c>
      <c r="G54" s="281">
        <v>11.08</v>
      </c>
      <c r="H54" s="281">
        <v>2</v>
      </c>
      <c r="I54" s="134">
        <v>0.23880000000000001</v>
      </c>
      <c r="J54" s="493">
        <f t="shared" si="2"/>
        <v>27439.013673600002</v>
      </c>
      <c r="K54" s="490"/>
    </row>
    <row r="55" spans="1:11" x14ac:dyDescent="0.3">
      <c r="A55" s="136" t="s">
        <v>1099</v>
      </c>
      <c r="B55" s="36" t="s">
        <v>11</v>
      </c>
      <c r="C55" s="36">
        <v>51036</v>
      </c>
      <c r="D55" s="296" t="s">
        <v>1199</v>
      </c>
      <c r="E55" s="35">
        <f>'MEMÓRIA DE CÁLCULO'!J183</f>
        <v>89.6</v>
      </c>
      <c r="F55" s="36" t="s">
        <v>72</v>
      </c>
      <c r="G55" s="281">
        <v>574.91999999999996</v>
      </c>
      <c r="H55" s="281">
        <v>0</v>
      </c>
      <c r="I55" s="134">
        <v>0.23880000000000001</v>
      </c>
      <c r="J55" s="493">
        <f t="shared" si="2"/>
        <v>63814.096281599988</v>
      </c>
      <c r="K55" s="490"/>
    </row>
    <row r="56" spans="1:11" ht="31.2" x14ac:dyDescent="0.3">
      <c r="A56" s="136" t="s">
        <v>354</v>
      </c>
      <c r="B56" s="36" t="s">
        <v>11</v>
      </c>
      <c r="C56" s="36">
        <v>60800</v>
      </c>
      <c r="D56" s="296" t="s">
        <v>1201</v>
      </c>
      <c r="E56" s="35">
        <f>E55</f>
        <v>89.6</v>
      </c>
      <c r="F56" s="36" t="s">
        <v>72</v>
      </c>
      <c r="G56" s="281">
        <v>0.1</v>
      </c>
      <c r="H56" s="281">
        <v>41.75</v>
      </c>
      <c r="I56" s="134">
        <v>0.23880000000000001</v>
      </c>
      <c r="J56" s="493">
        <f t="shared" si="2"/>
        <v>4645.2026879999994</v>
      </c>
      <c r="K56" s="490"/>
    </row>
    <row r="57" spans="1:11" ht="31.2" x14ac:dyDescent="0.3">
      <c r="A57" s="136" t="s">
        <v>411</v>
      </c>
      <c r="B57" s="36" t="s">
        <v>11</v>
      </c>
      <c r="C57" s="36">
        <v>61101</v>
      </c>
      <c r="D57" s="196" t="s">
        <v>333</v>
      </c>
      <c r="E57" s="35">
        <f>'MEMÓRIA DE CÁLCULO'!J190</f>
        <v>65.289999999999992</v>
      </c>
      <c r="F57" s="36" t="s">
        <v>15</v>
      </c>
      <c r="G57" s="281">
        <v>105.14</v>
      </c>
      <c r="H57" s="281">
        <v>16.11</v>
      </c>
      <c r="I57" s="134">
        <v>0.23880000000000001</v>
      </c>
      <c r="J57" s="493">
        <f t="shared" si="2"/>
        <v>9806.8518049999984</v>
      </c>
      <c r="K57" s="490"/>
    </row>
    <row r="58" spans="1:11" ht="31.2" x14ac:dyDescent="0.3">
      <c r="A58" s="136" t="s">
        <v>412</v>
      </c>
      <c r="B58" s="36" t="s">
        <v>11</v>
      </c>
      <c r="C58" s="36">
        <v>61102</v>
      </c>
      <c r="D58" s="196" t="s">
        <v>565</v>
      </c>
      <c r="E58" s="35">
        <f>'MEMÓRIA DE CÁLCULO'!J193</f>
        <v>223.41</v>
      </c>
      <c r="F58" s="36" t="s">
        <v>15</v>
      </c>
      <c r="G58" s="281">
        <v>115.95</v>
      </c>
      <c r="H58" s="281">
        <v>17.91</v>
      </c>
      <c r="I58" s="134">
        <v>0.23880000000000001</v>
      </c>
      <c r="J58" s="493">
        <f t="shared" si="2"/>
        <v>37047.13482888</v>
      </c>
      <c r="K58" s="490"/>
    </row>
    <row r="59" spans="1:11" ht="47.4" thickBot="1" x14ac:dyDescent="0.35">
      <c r="A59" s="136" t="s">
        <v>413</v>
      </c>
      <c r="B59" s="39" t="s">
        <v>61</v>
      </c>
      <c r="C59" s="39">
        <v>21141</v>
      </c>
      <c r="D59" s="197" t="s">
        <v>750</v>
      </c>
      <c r="E59" s="38">
        <f>'MEMÓRIA DE CÁLCULO'!J196</f>
        <v>2075.3000000000002</v>
      </c>
      <c r="F59" s="39" t="s">
        <v>330</v>
      </c>
      <c r="G59" s="487">
        <v>19</v>
      </c>
      <c r="H59" s="488"/>
      <c r="I59" s="134">
        <v>0.23880000000000001</v>
      </c>
      <c r="J59" s="493">
        <f t="shared" si="2"/>
        <v>48846.75116</v>
      </c>
      <c r="K59" s="490"/>
    </row>
    <row r="60" spans="1:11" ht="16.2" thickBot="1" x14ac:dyDescent="0.35">
      <c r="A60" s="535" t="s">
        <v>8</v>
      </c>
      <c r="B60" s="536"/>
      <c r="C60" s="536"/>
      <c r="D60" s="536"/>
      <c r="E60" s="536"/>
      <c r="F60" s="536"/>
      <c r="G60" s="536"/>
      <c r="H60" s="536"/>
      <c r="I60" s="536"/>
      <c r="J60" s="537"/>
      <c r="K60" s="40">
        <f>SUM(J48:K59)</f>
        <v>363805.66303864954</v>
      </c>
    </row>
    <row r="61" spans="1:11" ht="16.2" thickBot="1" x14ac:dyDescent="0.35">
      <c r="A61" s="530" t="s">
        <v>27</v>
      </c>
      <c r="B61" s="531"/>
      <c r="C61" s="531"/>
      <c r="D61" s="531"/>
      <c r="E61" s="531"/>
      <c r="F61" s="531"/>
      <c r="G61" s="531"/>
      <c r="H61" s="531"/>
      <c r="I61" s="531"/>
      <c r="J61" s="531"/>
      <c r="K61" s="532"/>
    </row>
    <row r="62" spans="1:11" x14ac:dyDescent="0.3">
      <c r="A62" s="135">
        <v>6</v>
      </c>
      <c r="B62" s="140" t="s">
        <v>23</v>
      </c>
      <c r="C62" s="140">
        <v>70000</v>
      </c>
      <c r="D62" s="526" t="s">
        <v>28</v>
      </c>
      <c r="E62" s="526"/>
      <c r="F62" s="526"/>
      <c r="G62" s="526"/>
      <c r="H62" s="526"/>
      <c r="I62" s="526"/>
      <c r="J62" s="526"/>
      <c r="K62" s="527"/>
    </row>
    <row r="63" spans="1:11" x14ac:dyDescent="0.3">
      <c r="A63" s="136" t="s">
        <v>120</v>
      </c>
      <c r="B63" s="36" t="s">
        <v>11</v>
      </c>
      <c r="C63" s="474">
        <v>70423</v>
      </c>
      <c r="D63" s="266" t="s">
        <v>594</v>
      </c>
      <c r="E63" s="179">
        <v>3</v>
      </c>
      <c r="F63" s="178" t="s">
        <v>571</v>
      </c>
      <c r="G63" s="282">
        <v>2.88</v>
      </c>
      <c r="H63" s="282">
        <v>0.86</v>
      </c>
      <c r="I63" s="180">
        <v>0.23880000000000001</v>
      </c>
      <c r="J63" s="503">
        <f>(G63+H63)*E63*1.2388</f>
        <v>13.899335999999998</v>
      </c>
      <c r="K63" s="504"/>
    </row>
    <row r="64" spans="1:11" x14ac:dyDescent="0.3">
      <c r="A64" s="136" t="s">
        <v>121</v>
      </c>
      <c r="B64" s="36" t="s">
        <v>11</v>
      </c>
      <c r="C64" s="36">
        <v>70391</v>
      </c>
      <c r="D64" s="196" t="s">
        <v>649</v>
      </c>
      <c r="E64" s="35">
        <v>31</v>
      </c>
      <c r="F64" s="36" t="s">
        <v>569</v>
      </c>
      <c r="G64" s="280">
        <v>0.15</v>
      </c>
      <c r="H64" s="280">
        <v>0.46</v>
      </c>
      <c r="I64" s="180">
        <v>0.23880000000000001</v>
      </c>
      <c r="J64" s="503">
        <f t="shared" ref="J64:J128" si="3">(G64+H64)*E64*1.2388</f>
        <v>23.425707999999997</v>
      </c>
      <c r="K64" s="504"/>
    </row>
    <row r="65" spans="1:11" x14ac:dyDescent="0.3">
      <c r="A65" s="136" t="s">
        <v>124</v>
      </c>
      <c r="B65" s="36" t="s">
        <v>11</v>
      </c>
      <c r="C65" s="36">
        <v>70393</v>
      </c>
      <c r="D65" s="196" t="s">
        <v>648</v>
      </c>
      <c r="E65" s="35">
        <f>151+447</f>
        <v>598</v>
      </c>
      <c r="F65" s="36" t="s">
        <v>569</v>
      </c>
      <c r="G65" s="280">
        <v>0.43</v>
      </c>
      <c r="H65" s="280">
        <v>0.56999999999999995</v>
      </c>
      <c r="I65" s="180">
        <v>0.23880000000000001</v>
      </c>
      <c r="J65" s="503">
        <f t="shared" si="3"/>
        <v>740.80239999999992</v>
      </c>
      <c r="K65" s="504"/>
    </row>
    <row r="66" spans="1:11" x14ac:dyDescent="0.3">
      <c r="A66" s="136" t="s">
        <v>125</v>
      </c>
      <c r="B66" s="36" t="s">
        <v>11</v>
      </c>
      <c r="C66" s="36">
        <v>70233</v>
      </c>
      <c r="D66" s="196" t="s">
        <v>681</v>
      </c>
      <c r="E66" s="35">
        <v>3</v>
      </c>
      <c r="F66" s="36" t="s">
        <v>569</v>
      </c>
      <c r="G66" s="280">
        <v>89.35</v>
      </c>
      <c r="H66" s="280">
        <v>18.63</v>
      </c>
      <c r="I66" s="180">
        <v>0.23880000000000001</v>
      </c>
      <c r="J66" s="503">
        <f t="shared" si="3"/>
        <v>401.29687199999989</v>
      </c>
      <c r="K66" s="504"/>
    </row>
    <row r="67" spans="1:11" x14ac:dyDescent="0.3">
      <c r="A67" s="136" t="s">
        <v>126</v>
      </c>
      <c r="B67" s="36" t="s">
        <v>11</v>
      </c>
      <c r="C67" s="36">
        <v>70251</v>
      </c>
      <c r="D67" s="266" t="s">
        <v>646</v>
      </c>
      <c r="E67" s="35">
        <f>841+2679</f>
        <v>3520</v>
      </c>
      <c r="F67" s="36" t="s">
        <v>569</v>
      </c>
      <c r="G67" s="280">
        <v>0.04</v>
      </c>
      <c r="H67" s="280">
        <v>0</v>
      </c>
      <c r="I67" s="180">
        <v>0.23880000000000001</v>
      </c>
      <c r="J67" s="503">
        <f t="shared" si="3"/>
        <v>174.42303999999999</v>
      </c>
      <c r="K67" s="504"/>
    </row>
    <row r="68" spans="1:11" x14ac:dyDescent="0.3">
      <c r="A68" s="136" t="s">
        <v>122</v>
      </c>
      <c r="B68" s="36" t="s">
        <v>11</v>
      </c>
      <c r="C68" s="36">
        <v>70252</v>
      </c>
      <c r="D68" s="266" t="s">
        <v>647</v>
      </c>
      <c r="E68" s="35">
        <f>37+447</f>
        <v>484</v>
      </c>
      <c r="F68" s="36" t="s">
        <v>569</v>
      </c>
      <c r="G68" s="280">
        <v>0.1</v>
      </c>
      <c r="H68" s="280">
        <v>0</v>
      </c>
      <c r="I68" s="180">
        <v>0.23880000000000001</v>
      </c>
      <c r="J68" s="503">
        <f t="shared" si="3"/>
        <v>59.957920000000001</v>
      </c>
      <c r="K68" s="504"/>
    </row>
    <row r="69" spans="1:11" x14ac:dyDescent="0.3">
      <c r="A69" s="136" t="s">
        <v>123</v>
      </c>
      <c r="B69" s="36" t="s">
        <v>11</v>
      </c>
      <c r="C69" s="36">
        <v>70351</v>
      </c>
      <c r="D69" s="266" t="s">
        <v>679</v>
      </c>
      <c r="E69" s="35">
        <v>31</v>
      </c>
      <c r="F69" s="36" t="s">
        <v>569</v>
      </c>
      <c r="G69" s="280">
        <v>0.63</v>
      </c>
      <c r="H69" s="280">
        <v>0.28999999999999998</v>
      </c>
      <c r="I69" s="180">
        <v>0.23880000000000001</v>
      </c>
      <c r="J69" s="503">
        <f t="shared" si="3"/>
        <v>35.330575999999994</v>
      </c>
      <c r="K69" s="504"/>
    </row>
    <row r="70" spans="1:11" x14ac:dyDescent="0.3">
      <c r="A70" s="136" t="s">
        <v>127</v>
      </c>
      <c r="B70" s="36" t="s">
        <v>11</v>
      </c>
      <c r="C70" s="36">
        <v>70503</v>
      </c>
      <c r="D70" s="266" t="s">
        <v>682</v>
      </c>
      <c r="E70" s="35">
        <f>2+2</f>
        <v>4</v>
      </c>
      <c r="F70" s="36" t="s">
        <v>569</v>
      </c>
      <c r="G70" s="280">
        <v>7.32</v>
      </c>
      <c r="H70" s="280">
        <v>3.15</v>
      </c>
      <c r="I70" s="180">
        <v>0.23880000000000001</v>
      </c>
      <c r="J70" s="503">
        <f t="shared" si="3"/>
        <v>51.880944</v>
      </c>
      <c r="K70" s="504"/>
    </row>
    <row r="71" spans="1:11" x14ac:dyDescent="0.3">
      <c r="A71" s="136" t="s">
        <v>128</v>
      </c>
      <c r="B71" s="36" t="s">
        <v>11</v>
      </c>
      <c r="C71" s="36">
        <v>70571</v>
      </c>
      <c r="D71" s="196" t="s">
        <v>94</v>
      </c>
      <c r="E71" s="35">
        <f>562.9+370.4+89.8+85.4+56.5+56.5+80.7</f>
        <v>1302.2</v>
      </c>
      <c r="F71" s="36" t="s">
        <v>221</v>
      </c>
      <c r="G71" s="280">
        <v>13.68</v>
      </c>
      <c r="H71" s="280">
        <v>2.29</v>
      </c>
      <c r="I71" s="180">
        <v>0.23880000000000001</v>
      </c>
      <c r="J71" s="503">
        <f t="shared" si="3"/>
        <v>25762.250799199996</v>
      </c>
      <c r="K71" s="504"/>
    </row>
    <row r="72" spans="1:11" x14ac:dyDescent="0.3">
      <c r="A72" s="136" t="s">
        <v>129</v>
      </c>
      <c r="B72" s="36" t="s">
        <v>11</v>
      </c>
      <c r="C72" s="36">
        <v>70572</v>
      </c>
      <c r="D72" s="196" t="s">
        <v>95</v>
      </c>
      <c r="E72" s="35">
        <f>91.5*5</f>
        <v>457.5</v>
      </c>
      <c r="F72" s="36" t="s">
        <v>221</v>
      </c>
      <c r="G72" s="280">
        <v>22.01</v>
      </c>
      <c r="H72" s="280">
        <v>2.4300000000000002</v>
      </c>
      <c r="I72" s="180">
        <v>0.23880000000000001</v>
      </c>
      <c r="J72" s="503">
        <f t="shared" si="3"/>
        <v>13851.39444</v>
      </c>
      <c r="K72" s="504"/>
    </row>
    <row r="73" spans="1:11" x14ac:dyDescent="0.3">
      <c r="A73" s="136" t="s">
        <v>130</v>
      </c>
      <c r="B73" s="36" t="s">
        <v>11</v>
      </c>
      <c r="C73" s="36">
        <v>70573</v>
      </c>
      <c r="D73" s="196" t="s">
        <v>96</v>
      </c>
      <c r="E73" s="35">
        <f>4*4</f>
        <v>16</v>
      </c>
      <c r="F73" s="36" t="s">
        <v>221</v>
      </c>
      <c r="G73" s="280">
        <v>27</v>
      </c>
      <c r="H73" s="280">
        <v>3.01</v>
      </c>
      <c r="I73" s="180">
        <v>0.23880000000000001</v>
      </c>
      <c r="J73" s="503">
        <f t="shared" si="3"/>
        <v>594.82220799999993</v>
      </c>
      <c r="K73" s="504"/>
    </row>
    <row r="74" spans="1:11" x14ac:dyDescent="0.3">
      <c r="A74" s="136" t="s">
        <v>131</v>
      </c>
      <c r="B74" s="36" t="s">
        <v>11</v>
      </c>
      <c r="C74" s="36">
        <v>70645</v>
      </c>
      <c r="D74" s="266" t="s">
        <v>658</v>
      </c>
      <c r="E74" s="35">
        <v>35</v>
      </c>
      <c r="F74" s="36" t="s">
        <v>569</v>
      </c>
      <c r="G74" s="280">
        <v>42.04</v>
      </c>
      <c r="H74" s="280">
        <v>20.059999999999999</v>
      </c>
      <c r="I74" s="180">
        <v>0.23880000000000001</v>
      </c>
      <c r="J74" s="503">
        <f t="shared" si="3"/>
        <v>2692.5317999999997</v>
      </c>
      <c r="K74" s="504"/>
    </row>
    <row r="75" spans="1:11" x14ac:dyDescent="0.3">
      <c r="A75" s="136" t="s">
        <v>132</v>
      </c>
      <c r="B75" s="36" t="s">
        <v>11</v>
      </c>
      <c r="C75" s="36">
        <v>70646</v>
      </c>
      <c r="D75" s="475" t="s">
        <v>659</v>
      </c>
      <c r="E75" s="35">
        <v>5</v>
      </c>
      <c r="F75" s="36" t="s">
        <v>569</v>
      </c>
      <c r="G75" s="280">
        <v>65.37</v>
      </c>
      <c r="H75" s="280">
        <v>35.83</v>
      </c>
      <c r="I75" s="180">
        <v>0.23880000000000001</v>
      </c>
      <c r="J75" s="503">
        <f t="shared" si="3"/>
        <v>626.83279999999991</v>
      </c>
      <c r="K75" s="504"/>
    </row>
    <row r="76" spans="1:11" x14ac:dyDescent="0.3">
      <c r="A76" s="136" t="s">
        <v>133</v>
      </c>
      <c r="B76" s="36" t="s">
        <v>11</v>
      </c>
      <c r="C76" s="36">
        <v>70681</v>
      </c>
      <c r="D76" s="196" t="s">
        <v>97</v>
      </c>
      <c r="E76" s="35">
        <v>241</v>
      </c>
      <c r="F76" s="36" t="s">
        <v>569</v>
      </c>
      <c r="G76" s="280">
        <v>4.79</v>
      </c>
      <c r="H76" s="280">
        <v>4.3</v>
      </c>
      <c r="I76" s="180">
        <v>0.23880000000000001</v>
      </c>
      <c r="J76" s="503">
        <f t="shared" si="3"/>
        <v>2713.8267719999999</v>
      </c>
      <c r="K76" s="504"/>
    </row>
    <row r="77" spans="1:11" x14ac:dyDescent="0.3">
      <c r="A77" s="136" t="s">
        <v>134</v>
      </c>
      <c r="B77" s="36" t="s">
        <v>11</v>
      </c>
      <c r="C77" s="36">
        <v>70691</v>
      </c>
      <c r="D77" s="196" t="s">
        <v>98</v>
      </c>
      <c r="E77" s="35">
        <v>271</v>
      </c>
      <c r="F77" s="36" t="s">
        <v>569</v>
      </c>
      <c r="G77" s="280">
        <v>2.12</v>
      </c>
      <c r="H77" s="280">
        <v>4.3</v>
      </c>
      <c r="I77" s="180">
        <v>0.23880000000000001</v>
      </c>
      <c r="J77" s="503">
        <f t="shared" si="3"/>
        <v>2155.2890159999997</v>
      </c>
      <c r="K77" s="504"/>
    </row>
    <row r="78" spans="1:11" x14ac:dyDescent="0.3">
      <c r="A78" s="136" t="s">
        <v>135</v>
      </c>
      <c r="B78" s="36" t="s">
        <v>11</v>
      </c>
      <c r="C78" s="36">
        <v>70710</v>
      </c>
      <c r="D78" s="475" t="s">
        <v>657</v>
      </c>
      <c r="E78" s="35">
        <v>22</v>
      </c>
      <c r="F78" s="36" t="s">
        <v>569</v>
      </c>
      <c r="G78" s="280">
        <v>77.290000000000006</v>
      </c>
      <c r="H78" s="280">
        <v>62.56</v>
      </c>
      <c r="I78" s="180">
        <v>0.23880000000000001</v>
      </c>
      <c r="J78" s="503">
        <f t="shared" si="3"/>
        <v>3811.4159600000007</v>
      </c>
      <c r="K78" s="504"/>
    </row>
    <row r="79" spans="1:11" x14ac:dyDescent="0.3">
      <c r="A79" s="136" t="s">
        <v>136</v>
      </c>
      <c r="B79" s="36" t="s">
        <v>11</v>
      </c>
      <c r="C79" s="36">
        <v>70720</v>
      </c>
      <c r="D79" s="196" t="s">
        <v>99</v>
      </c>
      <c r="E79" s="35">
        <v>2</v>
      </c>
      <c r="F79" s="36" t="s">
        <v>569</v>
      </c>
      <c r="G79" s="280">
        <v>448.91</v>
      </c>
      <c r="H79" s="280">
        <v>22.87</v>
      </c>
      <c r="I79" s="180">
        <v>0.23880000000000001</v>
      </c>
      <c r="J79" s="503">
        <f t="shared" si="3"/>
        <v>1168.882128</v>
      </c>
      <c r="K79" s="504"/>
    </row>
    <row r="80" spans="1:11" x14ac:dyDescent="0.3">
      <c r="A80" s="136" t="s">
        <v>137</v>
      </c>
      <c r="B80" s="36" t="s">
        <v>11</v>
      </c>
      <c r="C80" s="36">
        <v>70920</v>
      </c>
      <c r="D80" s="196" t="s">
        <v>683</v>
      </c>
      <c r="E80" s="35">
        <v>8</v>
      </c>
      <c r="F80" s="36" t="s">
        <v>569</v>
      </c>
      <c r="G80" s="280">
        <v>27.02</v>
      </c>
      <c r="H80" s="280">
        <v>5.73</v>
      </c>
      <c r="I80" s="180">
        <v>0.23880000000000001</v>
      </c>
      <c r="J80" s="503">
        <f t="shared" si="3"/>
        <v>324.56559999999996</v>
      </c>
      <c r="K80" s="504"/>
    </row>
    <row r="81" spans="1:11" x14ac:dyDescent="0.3">
      <c r="A81" s="136" t="s">
        <v>138</v>
      </c>
      <c r="B81" s="36" t="s">
        <v>11</v>
      </c>
      <c r="C81" s="36">
        <v>71143</v>
      </c>
      <c r="D81" s="475" t="s">
        <v>640</v>
      </c>
      <c r="E81" s="35">
        <v>4</v>
      </c>
      <c r="F81" s="36" t="s">
        <v>569</v>
      </c>
      <c r="G81" s="280">
        <v>3.33</v>
      </c>
      <c r="H81" s="280">
        <v>5.73</v>
      </c>
      <c r="I81" s="180">
        <v>0.23880000000000001</v>
      </c>
      <c r="J81" s="503">
        <f t="shared" si="3"/>
        <v>44.894112</v>
      </c>
      <c r="K81" s="504"/>
    </row>
    <row r="82" spans="1:11" x14ac:dyDescent="0.3">
      <c r="A82" s="136" t="s">
        <v>139</v>
      </c>
      <c r="B82" s="36" t="s">
        <v>11</v>
      </c>
      <c r="C82" s="36">
        <v>71144</v>
      </c>
      <c r="D82" s="371" t="s">
        <v>641</v>
      </c>
      <c r="E82" s="35">
        <f>4+4</f>
        <v>8</v>
      </c>
      <c r="F82" s="36" t="s">
        <v>569</v>
      </c>
      <c r="G82" s="280">
        <v>4.04</v>
      </c>
      <c r="H82" s="280">
        <v>10.67</v>
      </c>
      <c r="I82" s="180">
        <v>0.23880000000000001</v>
      </c>
      <c r="J82" s="503">
        <f t="shared" si="3"/>
        <v>145.78198399999999</v>
      </c>
      <c r="K82" s="504"/>
    </row>
    <row r="83" spans="1:11" x14ac:dyDescent="0.3">
      <c r="A83" s="136" t="s">
        <v>140</v>
      </c>
      <c r="B83" s="36" t="s">
        <v>11</v>
      </c>
      <c r="C83" s="36">
        <v>71743</v>
      </c>
      <c r="D83" s="371" t="s">
        <v>642</v>
      </c>
      <c r="E83" s="35">
        <v>4</v>
      </c>
      <c r="F83" s="36" t="s">
        <v>569</v>
      </c>
      <c r="G83" s="280">
        <v>1.83</v>
      </c>
      <c r="H83" s="280">
        <v>2</v>
      </c>
      <c r="I83" s="180">
        <v>0.23880000000000001</v>
      </c>
      <c r="J83" s="503">
        <f t="shared" si="3"/>
        <v>18.978415999999999</v>
      </c>
      <c r="K83" s="504"/>
    </row>
    <row r="84" spans="1:11" x14ac:dyDescent="0.3">
      <c r="A84" s="136" t="s">
        <v>141</v>
      </c>
      <c r="B84" s="36" t="s">
        <v>11</v>
      </c>
      <c r="C84" s="36">
        <v>71744</v>
      </c>
      <c r="D84" s="475" t="s">
        <v>643</v>
      </c>
      <c r="E84" s="35">
        <v>8</v>
      </c>
      <c r="F84" s="36" t="s">
        <v>569</v>
      </c>
      <c r="G84" s="280">
        <v>2.52</v>
      </c>
      <c r="H84" s="280">
        <v>2.58</v>
      </c>
      <c r="I84" s="180">
        <v>0.23880000000000001</v>
      </c>
      <c r="J84" s="503">
        <f t="shared" si="3"/>
        <v>50.543039999999991</v>
      </c>
      <c r="K84" s="504"/>
    </row>
    <row r="85" spans="1:11" x14ac:dyDescent="0.3">
      <c r="A85" s="136" t="s">
        <v>142</v>
      </c>
      <c r="B85" s="36" t="s">
        <v>11</v>
      </c>
      <c r="C85" s="36">
        <v>71171</v>
      </c>
      <c r="D85" s="372" t="s">
        <v>100</v>
      </c>
      <c r="E85" s="35">
        <f>64+2+12</f>
        <v>78</v>
      </c>
      <c r="F85" s="36" t="s">
        <v>569</v>
      </c>
      <c r="G85" s="280">
        <v>8.07</v>
      </c>
      <c r="H85" s="280">
        <v>8.6</v>
      </c>
      <c r="I85" s="180">
        <v>0.23880000000000001</v>
      </c>
      <c r="J85" s="503">
        <f t="shared" si="3"/>
        <v>1610.7620880000002</v>
      </c>
      <c r="K85" s="504"/>
    </row>
    <row r="86" spans="1:11" x14ac:dyDescent="0.3">
      <c r="A86" s="136" t="s">
        <v>143</v>
      </c>
      <c r="B86" s="36" t="s">
        <v>11</v>
      </c>
      <c r="C86" s="36">
        <v>71172</v>
      </c>
      <c r="D86" s="196" t="s">
        <v>665</v>
      </c>
      <c r="E86" s="35">
        <f>5+1+6+1+1+1</f>
        <v>15</v>
      </c>
      <c r="F86" s="36" t="s">
        <v>569</v>
      </c>
      <c r="G86" s="280">
        <v>11.96</v>
      </c>
      <c r="H86" s="280">
        <v>8.6</v>
      </c>
      <c r="I86" s="180">
        <v>0.23880000000000001</v>
      </c>
      <c r="J86" s="503">
        <f t="shared" si="3"/>
        <v>382.04592000000002</v>
      </c>
      <c r="K86" s="504"/>
    </row>
    <row r="87" spans="1:11" x14ac:dyDescent="0.3">
      <c r="A87" s="136" t="s">
        <v>144</v>
      </c>
      <c r="B87" s="36" t="s">
        <v>11</v>
      </c>
      <c r="C87" s="36">
        <v>71173</v>
      </c>
      <c r="D87" s="196" t="s">
        <v>101</v>
      </c>
      <c r="E87" s="35">
        <f>32+2</f>
        <v>34</v>
      </c>
      <c r="F87" s="36" t="s">
        <v>569</v>
      </c>
      <c r="G87" s="280">
        <v>56.66</v>
      </c>
      <c r="H87" s="280">
        <v>25.8</v>
      </c>
      <c r="I87" s="180">
        <v>0.23880000000000001</v>
      </c>
      <c r="J87" s="503">
        <f t="shared" si="3"/>
        <v>3473.1492319999998</v>
      </c>
      <c r="K87" s="504"/>
    </row>
    <row r="88" spans="1:11" x14ac:dyDescent="0.3">
      <c r="A88" s="136" t="s">
        <v>145</v>
      </c>
      <c r="B88" s="36" t="s">
        <v>11</v>
      </c>
      <c r="C88" s="36">
        <v>71174</v>
      </c>
      <c r="D88" s="196" t="s">
        <v>102</v>
      </c>
      <c r="E88" s="35">
        <f>3+3</f>
        <v>6</v>
      </c>
      <c r="F88" s="36" t="s">
        <v>569</v>
      </c>
      <c r="G88" s="280">
        <v>67.97</v>
      </c>
      <c r="H88" s="280">
        <v>25.8</v>
      </c>
      <c r="I88" s="180">
        <v>0.23880000000000001</v>
      </c>
      <c r="J88" s="503">
        <f t="shared" si="3"/>
        <v>696.97365600000001</v>
      </c>
      <c r="K88" s="504"/>
    </row>
    <row r="89" spans="1:11" x14ac:dyDescent="0.3">
      <c r="A89" s="136" t="s">
        <v>146</v>
      </c>
      <c r="B89" s="36" t="s">
        <v>11</v>
      </c>
      <c r="C89" s="36">
        <v>71175</v>
      </c>
      <c r="D89" s="196" t="s">
        <v>667</v>
      </c>
      <c r="E89" s="35">
        <v>2</v>
      </c>
      <c r="F89" s="36" t="s">
        <v>569</v>
      </c>
      <c r="G89" s="280">
        <v>220.26</v>
      </c>
      <c r="H89" s="280">
        <v>25.8</v>
      </c>
      <c r="I89" s="180">
        <v>0.23880000000000001</v>
      </c>
      <c r="J89" s="503">
        <f t="shared" si="3"/>
        <v>609.63825599999996</v>
      </c>
      <c r="K89" s="504"/>
    </row>
    <row r="90" spans="1:11" x14ac:dyDescent="0.3">
      <c r="A90" s="136" t="s">
        <v>147</v>
      </c>
      <c r="B90" s="36" t="s">
        <v>11</v>
      </c>
      <c r="C90" s="36">
        <v>71176</v>
      </c>
      <c r="D90" s="196" t="s">
        <v>103</v>
      </c>
      <c r="E90" s="35">
        <f>1</f>
        <v>1</v>
      </c>
      <c r="F90" s="36" t="s">
        <v>569</v>
      </c>
      <c r="G90" s="280">
        <v>309.08</v>
      </c>
      <c r="H90" s="280">
        <v>25.8</v>
      </c>
      <c r="I90" s="180">
        <v>0.23880000000000001</v>
      </c>
      <c r="J90" s="503">
        <f t="shared" si="3"/>
        <v>414.84934399999997</v>
      </c>
      <c r="K90" s="504"/>
    </row>
    <row r="91" spans="1:11" x14ac:dyDescent="0.3">
      <c r="A91" s="136" t="s">
        <v>148</v>
      </c>
      <c r="B91" s="36" t="s">
        <v>11</v>
      </c>
      <c r="C91" s="36">
        <v>71186</v>
      </c>
      <c r="D91" s="196" t="s">
        <v>664</v>
      </c>
      <c r="E91" s="35">
        <f>128+24</f>
        <v>152</v>
      </c>
      <c r="F91" s="36" t="s">
        <v>569</v>
      </c>
      <c r="G91" s="280">
        <v>161.38999999999999</v>
      </c>
      <c r="H91" s="280">
        <v>28.66</v>
      </c>
      <c r="I91" s="180">
        <v>0.23880000000000001</v>
      </c>
      <c r="J91" s="503">
        <f t="shared" si="3"/>
        <v>35785.958879999998</v>
      </c>
      <c r="K91" s="504"/>
    </row>
    <row r="92" spans="1:11" x14ac:dyDescent="0.3">
      <c r="A92" s="136" t="s">
        <v>149</v>
      </c>
      <c r="B92" s="36" t="s">
        <v>11</v>
      </c>
      <c r="C92" s="36">
        <v>71190</v>
      </c>
      <c r="D92" s="196" t="s">
        <v>669</v>
      </c>
      <c r="E92" s="35">
        <f>547.7+199.3+2.3</f>
        <v>749.3</v>
      </c>
      <c r="F92" s="36" t="s">
        <v>221</v>
      </c>
      <c r="G92" s="280">
        <v>20.02</v>
      </c>
      <c r="H92" s="280">
        <v>9.17</v>
      </c>
      <c r="I92" s="180">
        <v>0.23880000000000001</v>
      </c>
      <c r="J92" s="503">
        <f t="shared" si="3"/>
        <v>27095.116599599991</v>
      </c>
      <c r="K92" s="504"/>
    </row>
    <row r="93" spans="1:11" x14ac:dyDescent="0.3">
      <c r="A93" s="136" t="s">
        <v>150</v>
      </c>
      <c r="B93" s="36" t="s">
        <v>11</v>
      </c>
      <c r="C93" s="36">
        <v>71193</v>
      </c>
      <c r="D93" s="196" t="s">
        <v>104</v>
      </c>
      <c r="E93" s="35">
        <f>174.6+400.2+1133.4</f>
        <v>1708.2</v>
      </c>
      <c r="F93" s="36" t="s">
        <v>221</v>
      </c>
      <c r="G93" s="280">
        <v>1.78</v>
      </c>
      <c r="H93" s="280">
        <v>4.88</v>
      </c>
      <c r="I93" s="180">
        <v>0.23880000000000001</v>
      </c>
      <c r="J93" s="503">
        <f t="shared" si="3"/>
        <v>14093.3469456</v>
      </c>
      <c r="K93" s="504"/>
    </row>
    <row r="94" spans="1:11" x14ac:dyDescent="0.3">
      <c r="A94" s="136" t="s">
        <v>151</v>
      </c>
      <c r="B94" s="36" t="s">
        <v>11</v>
      </c>
      <c r="C94" s="36">
        <v>71194</v>
      </c>
      <c r="D94" s="196" t="s">
        <v>105</v>
      </c>
      <c r="E94" s="35">
        <f>16.6+31.8</f>
        <v>48.400000000000006</v>
      </c>
      <c r="F94" s="36" t="s">
        <v>221</v>
      </c>
      <c r="G94" s="280">
        <v>1.93</v>
      </c>
      <c r="H94" s="280">
        <v>4.88</v>
      </c>
      <c r="I94" s="180">
        <v>0.23880000000000001</v>
      </c>
      <c r="J94" s="503">
        <f t="shared" si="3"/>
        <v>408.31343520000001</v>
      </c>
      <c r="K94" s="504"/>
    </row>
    <row r="95" spans="1:11" x14ac:dyDescent="0.3">
      <c r="A95" s="136" t="s">
        <v>152</v>
      </c>
      <c r="B95" s="36" t="s">
        <v>11</v>
      </c>
      <c r="C95" s="36">
        <v>71195</v>
      </c>
      <c r="D95" s="196" t="s">
        <v>672</v>
      </c>
      <c r="E95" s="35">
        <f>16.8+39.4</f>
        <v>56.2</v>
      </c>
      <c r="F95" s="36" t="s">
        <v>221</v>
      </c>
      <c r="G95" s="280">
        <v>3.3</v>
      </c>
      <c r="H95" s="280">
        <v>5.73</v>
      </c>
      <c r="I95" s="180">
        <v>0.23880000000000001</v>
      </c>
      <c r="J95" s="503">
        <f t="shared" si="3"/>
        <v>628.67365680000012</v>
      </c>
      <c r="K95" s="504"/>
    </row>
    <row r="96" spans="1:11" x14ac:dyDescent="0.3">
      <c r="A96" s="136" t="s">
        <v>153</v>
      </c>
      <c r="B96" s="36" t="s">
        <v>11</v>
      </c>
      <c r="C96" s="36">
        <v>71196</v>
      </c>
      <c r="D96" s="198" t="s">
        <v>673</v>
      </c>
      <c r="E96" s="35">
        <f>26.4+13.2</f>
        <v>39.599999999999994</v>
      </c>
      <c r="F96" s="36" t="s">
        <v>221</v>
      </c>
      <c r="G96" s="280">
        <v>2.42</v>
      </c>
      <c r="H96" s="280">
        <v>5.73</v>
      </c>
      <c r="I96" s="180">
        <v>0.23880000000000001</v>
      </c>
      <c r="J96" s="503">
        <f t="shared" si="3"/>
        <v>399.8103119999999</v>
      </c>
      <c r="K96" s="504"/>
    </row>
    <row r="97" spans="1:11" x14ac:dyDescent="0.3">
      <c r="A97" s="136" t="s">
        <v>154</v>
      </c>
      <c r="B97" s="36" t="s">
        <v>11</v>
      </c>
      <c r="C97" s="36">
        <v>71197</v>
      </c>
      <c r="D97" s="198" t="s">
        <v>674</v>
      </c>
      <c r="E97" s="35">
        <f>35.2+57.4</f>
        <v>92.6</v>
      </c>
      <c r="F97" s="36" t="s">
        <v>221</v>
      </c>
      <c r="G97" s="280">
        <v>2.94</v>
      </c>
      <c r="H97" s="280">
        <v>10.6</v>
      </c>
      <c r="I97" s="180">
        <v>0.23880000000000001</v>
      </c>
      <c r="J97" s="503">
        <f t="shared" si="3"/>
        <v>1553.2123951999997</v>
      </c>
      <c r="K97" s="504"/>
    </row>
    <row r="98" spans="1:11" x14ac:dyDescent="0.3">
      <c r="A98" s="136" t="s">
        <v>155</v>
      </c>
      <c r="B98" s="36" t="s">
        <v>11</v>
      </c>
      <c r="C98" s="36">
        <v>71199</v>
      </c>
      <c r="D98" s="198" t="s">
        <v>675</v>
      </c>
      <c r="E98" s="35">
        <f>32.7+80.7</f>
        <v>113.4</v>
      </c>
      <c r="F98" s="36" t="s">
        <v>221</v>
      </c>
      <c r="G98" s="280">
        <v>6.77</v>
      </c>
      <c r="H98" s="280">
        <v>22.93</v>
      </c>
      <c r="I98" s="180">
        <v>0.23880000000000001</v>
      </c>
      <c r="J98" s="503">
        <f t="shared" si="3"/>
        <v>4172.2536239999999</v>
      </c>
      <c r="K98" s="504"/>
    </row>
    <row r="99" spans="1:11" x14ac:dyDescent="0.3">
      <c r="A99" s="136" t="s">
        <v>156</v>
      </c>
      <c r="B99" s="36" t="s">
        <v>11</v>
      </c>
      <c r="C99" s="36">
        <v>71203</v>
      </c>
      <c r="D99" s="198" t="s">
        <v>677</v>
      </c>
      <c r="E99" s="35">
        <f>2+2</f>
        <v>4</v>
      </c>
      <c r="F99" s="36" t="s">
        <v>221</v>
      </c>
      <c r="G99" s="280">
        <v>8.4</v>
      </c>
      <c r="H99" s="280">
        <v>10.6</v>
      </c>
      <c r="I99" s="180">
        <v>0.23880000000000001</v>
      </c>
      <c r="J99" s="503">
        <f t="shared" si="3"/>
        <v>94.148799999999994</v>
      </c>
      <c r="K99" s="504"/>
    </row>
    <row r="100" spans="1:11" x14ac:dyDescent="0.3">
      <c r="A100" s="136" t="s">
        <v>157</v>
      </c>
      <c r="B100" s="36" t="s">
        <v>11</v>
      </c>
      <c r="C100" s="36">
        <v>71204</v>
      </c>
      <c r="D100" s="196" t="s">
        <v>106</v>
      </c>
      <c r="E100" s="35">
        <f>1+3</f>
        <v>4</v>
      </c>
      <c r="F100" s="36" t="s">
        <v>221</v>
      </c>
      <c r="G100" s="280">
        <v>7.64</v>
      </c>
      <c r="H100" s="280">
        <v>12.04</v>
      </c>
      <c r="I100" s="180">
        <v>0.23880000000000001</v>
      </c>
      <c r="J100" s="503">
        <f t="shared" si="3"/>
        <v>97.518335999999991</v>
      </c>
      <c r="K100" s="504"/>
    </row>
    <row r="101" spans="1:11" x14ac:dyDescent="0.3">
      <c r="A101" s="136" t="s">
        <v>158</v>
      </c>
      <c r="B101" s="36" t="s">
        <v>11</v>
      </c>
      <c r="C101" s="36">
        <v>71208</v>
      </c>
      <c r="D101" s="196" t="s">
        <v>676</v>
      </c>
      <c r="E101" s="35">
        <f>26.2+19.6</f>
        <v>45.8</v>
      </c>
      <c r="F101" s="36" t="s">
        <v>221</v>
      </c>
      <c r="G101" s="280">
        <v>39.57</v>
      </c>
      <c r="H101" s="280">
        <v>28.66</v>
      </c>
      <c r="I101" s="180">
        <v>0.23880000000000001</v>
      </c>
      <c r="J101" s="503">
        <f t="shared" si="3"/>
        <v>3871.1682391999998</v>
      </c>
      <c r="K101" s="504"/>
    </row>
    <row r="102" spans="1:11" x14ac:dyDescent="0.3">
      <c r="A102" s="136" t="s">
        <v>159</v>
      </c>
      <c r="B102" s="36" t="s">
        <v>11</v>
      </c>
      <c r="C102" s="36">
        <v>71211</v>
      </c>
      <c r="D102" s="196" t="s">
        <v>678</v>
      </c>
      <c r="E102" s="35">
        <v>31.6</v>
      </c>
      <c r="F102" s="36" t="s">
        <v>221</v>
      </c>
      <c r="G102" s="280">
        <v>28.85</v>
      </c>
      <c r="H102" s="280">
        <v>8.6</v>
      </c>
      <c r="I102" s="180">
        <v>0.23880000000000001</v>
      </c>
      <c r="J102" s="503">
        <f t="shared" si="3"/>
        <v>1466.020696</v>
      </c>
      <c r="K102" s="504"/>
    </row>
    <row r="103" spans="1:11" x14ac:dyDescent="0.3">
      <c r="A103" s="136" t="s">
        <v>160</v>
      </c>
      <c r="B103" s="36" t="s">
        <v>11</v>
      </c>
      <c r="C103" s="36">
        <v>71290</v>
      </c>
      <c r="D103" s="475" t="s">
        <v>655</v>
      </c>
      <c r="E103" s="35">
        <f>401.6+77.4+20.9+346.8+118+66.5+13.6+19.8+24.8</f>
        <v>1089.3999999999999</v>
      </c>
      <c r="F103" s="36" t="s">
        <v>221</v>
      </c>
      <c r="G103" s="280">
        <v>1.46</v>
      </c>
      <c r="H103" s="280">
        <v>1.43</v>
      </c>
      <c r="I103" s="180">
        <v>0.23880000000000001</v>
      </c>
      <c r="J103" s="503">
        <f t="shared" si="3"/>
        <v>3900.1958007999983</v>
      </c>
      <c r="K103" s="504"/>
    </row>
    <row r="104" spans="1:11" x14ac:dyDescent="0.3">
      <c r="A104" s="136" t="s">
        <v>161</v>
      </c>
      <c r="B104" s="36" t="s">
        <v>11</v>
      </c>
      <c r="C104" s="36">
        <v>71291</v>
      </c>
      <c r="D104" s="196" t="s">
        <v>107</v>
      </c>
      <c r="E104" s="35">
        <f>591.6+591.6+591.6+253.3+421.5+238.3+118.7+370.4+97.4+47.4+41.2+47.4+6.1</f>
        <v>3416.5000000000005</v>
      </c>
      <c r="F104" s="36" t="s">
        <v>29</v>
      </c>
      <c r="G104" s="280">
        <v>2.1800000000000002</v>
      </c>
      <c r="H104" s="280">
        <v>1.57</v>
      </c>
      <c r="I104" s="180">
        <v>0.23880000000000001</v>
      </c>
      <c r="J104" s="503">
        <f t="shared" si="3"/>
        <v>15871.350750000001</v>
      </c>
      <c r="K104" s="504"/>
    </row>
    <row r="105" spans="1:11" x14ac:dyDescent="0.3">
      <c r="A105" s="136" t="s">
        <v>162</v>
      </c>
      <c r="B105" s="36" t="s">
        <v>11</v>
      </c>
      <c r="C105" s="36">
        <v>71292</v>
      </c>
      <c r="D105" s="196" t="s">
        <v>656</v>
      </c>
      <c r="E105" s="35">
        <f>(2888*5)+238.2+402.1+155.7+211.9+155.7+159.8</f>
        <v>15763.400000000001</v>
      </c>
      <c r="F105" s="36" t="s">
        <v>29</v>
      </c>
      <c r="G105" s="280">
        <v>3.99</v>
      </c>
      <c r="H105" s="280">
        <v>1.72</v>
      </c>
      <c r="I105" s="180">
        <v>0.23880000000000001</v>
      </c>
      <c r="J105" s="503">
        <f t="shared" si="3"/>
        <v>111503.1665432</v>
      </c>
      <c r="K105" s="504"/>
    </row>
    <row r="106" spans="1:11" x14ac:dyDescent="0.3">
      <c r="A106" s="136" t="s">
        <v>163</v>
      </c>
      <c r="B106" s="36" t="s">
        <v>11</v>
      </c>
      <c r="C106" s="36">
        <v>71293</v>
      </c>
      <c r="D106" s="196" t="s">
        <v>108</v>
      </c>
      <c r="E106" s="35">
        <f>(230.3*5)+(120.7*5)</f>
        <v>1755</v>
      </c>
      <c r="F106" s="36" t="s">
        <v>29</v>
      </c>
      <c r="G106" s="280">
        <v>5.51</v>
      </c>
      <c r="H106" s="280">
        <v>1.86</v>
      </c>
      <c r="I106" s="180">
        <v>0.23880000000000001</v>
      </c>
      <c r="J106" s="503">
        <f t="shared" si="3"/>
        <v>16023.072779999999</v>
      </c>
      <c r="K106" s="504"/>
    </row>
    <row r="107" spans="1:11" x14ac:dyDescent="0.3">
      <c r="A107" s="136" t="s">
        <v>164</v>
      </c>
      <c r="B107" s="36" t="s">
        <v>11</v>
      </c>
      <c r="C107" s="36">
        <v>71294</v>
      </c>
      <c r="D107" s="196" t="s">
        <v>109</v>
      </c>
      <c r="E107" s="35">
        <f>364.6+352.9+4.1+4.1+(1.9*4)</f>
        <v>733.30000000000007</v>
      </c>
      <c r="F107" s="36" t="s">
        <v>221</v>
      </c>
      <c r="G107" s="280">
        <v>9.01</v>
      </c>
      <c r="H107" s="280">
        <v>2</v>
      </c>
      <c r="I107" s="180">
        <v>0.23880000000000001</v>
      </c>
      <c r="J107" s="503">
        <f t="shared" si="3"/>
        <v>10001.6165604</v>
      </c>
      <c r="K107" s="504"/>
    </row>
    <row r="108" spans="1:11" x14ac:dyDescent="0.3">
      <c r="A108" s="136" t="s">
        <v>165</v>
      </c>
      <c r="B108" s="36" t="s">
        <v>11</v>
      </c>
      <c r="C108" s="36">
        <v>71391</v>
      </c>
      <c r="D108" s="196" t="s">
        <v>684</v>
      </c>
      <c r="E108" s="35">
        <v>3</v>
      </c>
      <c r="F108" s="36" t="s">
        <v>569</v>
      </c>
      <c r="G108" s="280">
        <v>71.23</v>
      </c>
      <c r="H108" s="280">
        <v>14.33</v>
      </c>
      <c r="I108" s="180">
        <v>0.23880000000000001</v>
      </c>
      <c r="J108" s="503">
        <f t="shared" si="3"/>
        <v>317.97518399999996</v>
      </c>
      <c r="K108" s="504"/>
    </row>
    <row r="109" spans="1:11" x14ac:dyDescent="0.3">
      <c r="A109" s="136" t="s">
        <v>166</v>
      </c>
      <c r="B109" s="36" t="s">
        <v>11</v>
      </c>
      <c r="C109" s="36">
        <v>71431</v>
      </c>
      <c r="D109" s="196" t="s">
        <v>110</v>
      </c>
      <c r="E109" s="35">
        <f>4</f>
        <v>4</v>
      </c>
      <c r="F109" s="36" t="s">
        <v>569</v>
      </c>
      <c r="G109" s="280">
        <v>8.27</v>
      </c>
      <c r="H109" s="280">
        <v>8.31</v>
      </c>
      <c r="I109" s="180">
        <v>0.23880000000000001</v>
      </c>
      <c r="J109" s="503">
        <f t="shared" si="3"/>
        <v>82.157215999999991</v>
      </c>
      <c r="K109" s="504"/>
    </row>
    <row r="110" spans="1:11" x14ac:dyDescent="0.3">
      <c r="A110" s="136" t="s">
        <v>167</v>
      </c>
      <c r="B110" s="36" t="s">
        <v>11</v>
      </c>
      <c r="C110" s="36">
        <v>71440</v>
      </c>
      <c r="D110" s="196" t="s">
        <v>660</v>
      </c>
      <c r="E110" s="35">
        <f>32+6</f>
        <v>38</v>
      </c>
      <c r="F110" s="36" t="s">
        <v>569</v>
      </c>
      <c r="G110" s="280">
        <v>6.08</v>
      </c>
      <c r="H110" s="280">
        <v>6.02</v>
      </c>
      <c r="I110" s="180">
        <v>0.23880000000000001</v>
      </c>
      <c r="J110" s="503">
        <f t="shared" si="3"/>
        <v>569.60023999999999</v>
      </c>
      <c r="K110" s="504"/>
    </row>
    <row r="111" spans="1:11" x14ac:dyDescent="0.3">
      <c r="A111" s="136" t="s">
        <v>168</v>
      </c>
      <c r="B111" s="36" t="s">
        <v>11</v>
      </c>
      <c r="C111" s="36">
        <v>71441</v>
      </c>
      <c r="D111" s="196" t="s">
        <v>111</v>
      </c>
      <c r="E111" s="35">
        <f>1</f>
        <v>1</v>
      </c>
      <c r="F111" s="36" t="s">
        <v>569</v>
      </c>
      <c r="G111" s="280">
        <v>12.48</v>
      </c>
      <c r="H111" s="280">
        <v>10.6</v>
      </c>
      <c r="I111" s="180">
        <v>0.23880000000000001</v>
      </c>
      <c r="J111" s="503">
        <f t="shared" si="3"/>
        <v>28.591503999999997</v>
      </c>
      <c r="K111" s="504"/>
    </row>
    <row r="112" spans="1:11" ht="31.2" x14ac:dyDescent="0.3">
      <c r="A112" s="136" t="s">
        <v>169</v>
      </c>
      <c r="B112" s="36" t="s">
        <v>11</v>
      </c>
      <c r="C112" s="36">
        <v>71443</v>
      </c>
      <c r="D112" s="196" t="s">
        <v>112</v>
      </c>
      <c r="E112" s="35">
        <f>6+6</f>
        <v>12</v>
      </c>
      <c r="F112" s="36" t="s">
        <v>569</v>
      </c>
      <c r="G112" s="280">
        <v>13.18</v>
      </c>
      <c r="H112" s="280">
        <v>10.6</v>
      </c>
      <c r="I112" s="180">
        <v>0.23880000000000001</v>
      </c>
      <c r="J112" s="503">
        <f t="shared" si="3"/>
        <v>353.50396799999999</v>
      </c>
      <c r="K112" s="504"/>
    </row>
    <row r="113" spans="1:11" x14ac:dyDescent="0.3">
      <c r="A113" s="136" t="s">
        <v>170</v>
      </c>
      <c r="B113" s="36" t="s">
        <v>11</v>
      </c>
      <c r="C113" s="36">
        <v>71455</v>
      </c>
      <c r="D113" s="196" t="s">
        <v>666</v>
      </c>
      <c r="E113" s="35">
        <f>33+4</f>
        <v>37</v>
      </c>
      <c r="F113" s="36" t="s">
        <v>569</v>
      </c>
      <c r="G113" s="280">
        <v>141.55000000000001</v>
      </c>
      <c r="H113" s="280">
        <v>28.66</v>
      </c>
      <c r="I113" s="180">
        <v>0.23880000000000001</v>
      </c>
      <c r="J113" s="503">
        <f t="shared" si="3"/>
        <v>7801.6774759999998</v>
      </c>
      <c r="K113" s="504"/>
    </row>
    <row r="114" spans="1:11" x14ac:dyDescent="0.3">
      <c r="A114" s="136" t="s">
        <v>171</v>
      </c>
      <c r="B114" s="36" t="s">
        <v>11</v>
      </c>
      <c r="C114" s="36">
        <v>71457</v>
      </c>
      <c r="D114" s="196" t="s">
        <v>668</v>
      </c>
      <c r="E114" s="35">
        <v>1</v>
      </c>
      <c r="F114" s="36" t="s">
        <v>569</v>
      </c>
      <c r="G114" s="280">
        <v>154.41999999999999</v>
      </c>
      <c r="H114" s="280">
        <v>28.66</v>
      </c>
      <c r="I114" s="180">
        <v>0.23880000000000001</v>
      </c>
      <c r="J114" s="503">
        <f t="shared" si="3"/>
        <v>226.79950399999996</v>
      </c>
      <c r="K114" s="504"/>
    </row>
    <row r="115" spans="1:11" x14ac:dyDescent="0.3">
      <c r="A115" s="136" t="s">
        <v>172</v>
      </c>
      <c r="B115" s="36" t="s">
        <v>11</v>
      </c>
      <c r="C115" s="36">
        <v>71481</v>
      </c>
      <c r="D115" s="196" t="s">
        <v>685</v>
      </c>
      <c r="E115" s="35">
        <v>14</v>
      </c>
      <c r="F115" s="36" t="s">
        <v>569</v>
      </c>
      <c r="G115" s="280">
        <v>9.67</v>
      </c>
      <c r="H115" s="280">
        <v>5.73</v>
      </c>
      <c r="I115" s="180">
        <v>0.23880000000000001</v>
      </c>
      <c r="J115" s="503">
        <f t="shared" si="3"/>
        <v>267.08527999999995</v>
      </c>
      <c r="K115" s="504"/>
    </row>
    <row r="116" spans="1:11" x14ac:dyDescent="0.3">
      <c r="A116" s="136" t="s">
        <v>173</v>
      </c>
      <c r="B116" s="36" t="s">
        <v>11</v>
      </c>
      <c r="C116" s="36">
        <v>71622</v>
      </c>
      <c r="D116" s="196" t="s">
        <v>113</v>
      </c>
      <c r="E116" s="35">
        <f>36+4+2+8</f>
        <v>50</v>
      </c>
      <c r="F116" s="36" t="s">
        <v>569</v>
      </c>
      <c r="G116" s="280">
        <v>124.5</v>
      </c>
      <c r="H116" s="280">
        <v>11.08</v>
      </c>
      <c r="I116" s="180">
        <v>0.23880000000000001</v>
      </c>
      <c r="J116" s="503">
        <f t="shared" si="3"/>
        <v>8397.8252000000011</v>
      </c>
      <c r="K116" s="504"/>
    </row>
    <row r="117" spans="1:11" x14ac:dyDescent="0.3">
      <c r="A117" s="136" t="s">
        <v>174</v>
      </c>
      <c r="B117" s="36" t="s">
        <v>11</v>
      </c>
      <c r="C117" s="36">
        <v>71682</v>
      </c>
      <c r="D117" s="196" t="s">
        <v>680</v>
      </c>
      <c r="E117" s="35">
        <f>106+56+71</f>
        <v>233</v>
      </c>
      <c r="F117" s="36" t="s">
        <v>569</v>
      </c>
      <c r="G117" s="280">
        <v>81.87</v>
      </c>
      <c r="H117" s="280">
        <v>9.25</v>
      </c>
      <c r="I117" s="180">
        <v>0.23880000000000001</v>
      </c>
      <c r="J117" s="503">
        <f t="shared" si="3"/>
        <v>26300.913248000001</v>
      </c>
      <c r="K117" s="504"/>
    </row>
    <row r="118" spans="1:11" x14ac:dyDescent="0.3">
      <c r="A118" s="136" t="s">
        <v>175</v>
      </c>
      <c r="B118" s="36" t="s">
        <v>11</v>
      </c>
      <c r="C118" s="36">
        <v>71773</v>
      </c>
      <c r="D118" s="266" t="s">
        <v>645</v>
      </c>
      <c r="E118" s="35">
        <v>3</v>
      </c>
      <c r="F118" s="36" t="s">
        <v>569</v>
      </c>
      <c r="G118" s="280">
        <v>12.05</v>
      </c>
      <c r="H118" s="280">
        <v>2.86</v>
      </c>
      <c r="I118" s="180">
        <v>0.23880000000000001</v>
      </c>
      <c r="J118" s="503">
        <f t="shared" si="3"/>
        <v>55.411524</v>
      </c>
      <c r="K118" s="504"/>
    </row>
    <row r="119" spans="1:11" x14ac:dyDescent="0.3">
      <c r="A119" s="136" t="s">
        <v>176</v>
      </c>
      <c r="B119" s="36" t="s">
        <v>11</v>
      </c>
      <c r="C119" s="36">
        <v>71774</v>
      </c>
      <c r="D119" s="266" t="s">
        <v>644</v>
      </c>
      <c r="E119" s="35">
        <v>3</v>
      </c>
      <c r="F119" s="36" t="s">
        <v>569</v>
      </c>
      <c r="G119" s="280">
        <v>17.72</v>
      </c>
      <c r="H119" s="280">
        <v>2.86</v>
      </c>
      <c r="I119" s="180">
        <v>0.23880000000000001</v>
      </c>
      <c r="J119" s="503">
        <f t="shared" si="3"/>
        <v>76.48351199999999</v>
      </c>
      <c r="K119" s="504"/>
    </row>
    <row r="120" spans="1:11" x14ac:dyDescent="0.3">
      <c r="A120" s="136" t="s">
        <v>177</v>
      </c>
      <c r="B120" s="36" t="s">
        <v>11</v>
      </c>
      <c r="C120" s="36">
        <v>71824</v>
      </c>
      <c r="D120" s="266" t="s">
        <v>1143</v>
      </c>
      <c r="E120" s="35">
        <v>1</v>
      </c>
      <c r="F120" s="36" t="s">
        <v>569</v>
      </c>
      <c r="G120" s="280">
        <v>2474.88</v>
      </c>
      <c r="H120" s="280">
        <v>65.88</v>
      </c>
      <c r="I120" s="180">
        <v>0.23880000000000001</v>
      </c>
      <c r="J120" s="503">
        <f t="shared" ref="J120" si="4">(G120+H120)*E120*1.2388</f>
        <v>3147.4934880000001</v>
      </c>
      <c r="K120" s="504"/>
    </row>
    <row r="121" spans="1:11" x14ac:dyDescent="0.3">
      <c r="A121" s="136" t="s">
        <v>178</v>
      </c>
      <c r="B121" s="36" t="s">
        <v>11</v>
      </c>
      <c r="C121" s="36">
        <v>71870</v>
      </c>
      <c r="D121" s="266" t="s">
        <v>650</v>
      </c>
      <c r="E121" s="35">
        <f>151+447</f>
        <v>598</v>
      </c>
      <c r="F121" s="36" t="s">
        <v>569</v>
      </c>
      <c r="G121" s="280">
        <v>0.23</v>
      </c>
      <c r="H121" s="280">
        <v>0.19</v>
      </c>
      <c r="I121" s="180">
        <v>0.23880000000000001</v>
      </c>
      <c r="J121" s="503">
        <f t="shared" si="3"/>
        <v>311.13700799999998</v>
      </c>
      <c r="K121" s="504"/>
    </row>
    <row r="122" spans="1:11" x14ac:dyDescent="0.3">
      <c r="A122" s="136" t="s">
        <v>179</v>
      </c>
      <c r="B122" s="36" t="s">
        <v>11</v>
      </c>
      <c r="C122" s="36">
        <v>71871</v>
      </c>
      <c r="D122" s="266" t="s">
        <v>651</v>
      </c>
      <c r="E122" s="35">
        <v>2</v>
      </c>
      <c r="F122" s="36" t="s">
        <v>569</v>
      </c>
      <c r="G122" s="280">
        <v>0.27</v>
      </c>
      <c r="H122" s="280">
        <v>0.19</v>
      </c>
      <c r="I122" s="180">
        <v>0.23880000000000001</v>
      </c>
      <c r="J122" s="503">
        <f t="shared" si="3"/>
        <v>1.139696</v>
      </c>
      <c r="K122" s="504"/>
    </row>
    <row r="123" spans="1:11" x14ac:dyDescent="0.3">
      <c r="A123" s="136" t="s">
        <v>180</v>
      </c>
      <c r="B123" s="36" t="s">
        <v>11</v>
      </c>
      <c r="C123" s="36">
        <v>71872</v>
      </c>
      <c r="D123" s="266" t="s">
        <v>652</v>
      </c>
      <c r="E123" s="35">
        <f>296+1176</f>
        <v>1472</v>
      </c>
      <c r="F123" s="36" t="s">
        <v>569</v>
      </c>
      <c r="G123" s="280">
        <v>0.19</v>
      </c>
      <c r="H123" s="280">
        <v>0.19</v>
      </c>
      <c r="I123" s="180">
        <v>0.23880000000000001</v>
      </c>
      <c r="J123" s="503">
        <f t="shared" si="3"/>
        <v>692.93516799999998</v>
      </c>
      <c r="K123" s="504"/>
    </row>
    <row r="124" spans="1:11" x14ac:dyDescent="0.3">
      <c r="A124" s="136" t="s">
        <v>181</v>
      </c>
      <c r="B124" s="36" t="s">
        <v>11</v>
      </c>
      <c r="C124" s="36">
        <v>71981</v>
      </c>
      <c r="D124" s="266" t="s">
        <v>653</v>
      </c>
      <c r="E124" s="35">
        <f>1519+545</f>
        <v>2064</v>
      </c>
      <c r="F124" s="36" t="s">
        <v>569</v>
      </c>
      <c r="G124" s="280">
        <v>0.32</v>
      </c>
      <c r="H124" s="280">
        <v>0.19</v>
      </c>
      <c r="I124" s="180">
        <v>0.23880000000000001</v>
      </c>
      <c r="J124" s="503">
        <f t="shared" si="3"/>
        <v>1304.010432</v>
      </c>
      <c r="K124" s="504"/>
    </row>
    <row r="125" spans="1:11" x14ac:dyDescent="0.3">
      <c r="A125" s="136" t="s">
        <v>182</v>
      </c>
      <c r="B125" s="36" t="s">
        <v>11</v>
      </c>
      <c r="C125" s="36">
        <v>72660</v>
      </c>
      <c r="D125" s="266" t="s">
        <v>654</v>
      </c>
      <c r="E125" s="35">
        <v>151</v>
      </c>
      <c r="F125" s="36" t="s">
        <v>221</v>
      </c>
      <c r="G125" s="280">
        <v>3.97</v>
      </c>
      <c r="H125" s="280">
        <v>6.88</v>
      </c>
      <c r="I125" s="180">
        <v>0.23880000000000001</v>
      </c>
      <c r="J125" s="503">
        <f t="shared" si="3"/>
        <v>2029.5879799999998</v>
      </c>
      <c r="K125" s="504"/>
    </row>
    <row r="126" spans="1:11" x14ac:dyDescent="0.3">
      <c r="A126" s="136" t="s">
        <v>183</v>
      </c>
      <c r="B126" s="36" t="s">
        <v>11</v>
      </c>
      <c r="C126" s="36">
        <v>72170</v>
      </c>
      <c r="D126" s="196" t="s">
        <v>686</v>
      </c>
      <c r="E126" s="35">
        <v>1</v>
      </c>
      <c r="F126" s="36" t="s">
        <v>569</v>
      </c>
      <c r="G126" s="280">
        <v>141.61000000000001</v>
      </c>
      <c r="H126" s="280">
        <v>42.99</v>
      </c>
      <c r="I126" s="180">
        <v>0.23880000000000001</v>
      </c>
      <c r="J126" s="503">
        <f t="shared" si="3"/>
        <v>228.68248</v>
      </c>
      <c r="K126" s="504"/>
    </row>
    <row r="127" spans="1:11" x14ac:dyDescent="0.3">
      <c r="A127" s="136" t="s">
        <v>184</v>
      </c>
      <c r="B127" s="36" t="s">
        <v>11</v>
      </c>
      <c r="C127" s="36">
        <v>72190</v>
      </c>
      <c r="D127" s="196" t="s">
        <v>114</v>
      </c>
      <c r="E127" s="35">
        <f>3+1+33</f>
        <v>37</v>
      </c>
      <c r="F127" s="36" t="s">
        <v>569</v>
      </c>
      <c r="G127" s="280">
        <v>670.08</v>
      </c>
      <c r="H127" s="280">
        <v>85.98</v>
      </c>
      <c r="I127" s="180">
        <v>0.23880000000000001</v>
      </c>
      <c r="J127" s="503">
        <f t="shared" si="3"/>
        <v>34654.463735999998</v>
      </c>
      <c r="K127" s="504"/>
    </row>
    <row r="128" spans="1:11" x14ac:dyDescent="0.3">
      <c r="A128" s="136" t="s">
        <v>185</v>
      </c>
      <c r="B128" s="36" t="s">
        <v>11</v>
      </c>
      <c r="C128" s="36">
        <v>72201</v>
      </c>
      <c r="D128" s="196" t="s">
        <v>115</v>
      </c>
      <c r="E128" s="35">
        <v>1</v>
      </c>
      <c r="F128" s="36" t="s">
        <v>569</v>
      </c>
      <c r="G128" s="280">
        <v>762.95</v>
      </c>
      <c r="H128" s="280">
        <v>171.96</v>
      </c>
      <c r="I128" s="180">
        <v>0.23880000000000001</v>
      </c>
      <c r="J128" s="503">
        <f t="shared" si="3"/>
        <v>1158.166508</v>
      </c>
      <c r="K128" s="504"/>
    </row>
    <row r="129" spans="1:11" x14ac:dyDescent="0.3">
      <c r="A129" s="136" t="s">
        <v>186</v>
      </c>
      <c r="B129" s="36" t="s">
        <v>11</v>
      </c>
      <c r="C129" s="36">
        <v>72371</v>
      </c>
      <c r="D129" s="196" t="s">
        <v>671</v>
      </c>
      <c r="E129" s="35">
        <f>447+151+2+1</f>
        <v>601</v>
      </c>
      <c r="F129" s="36" t="s">
        <v>569</v>
      </c>
      <c r="G129" s="280">
        <v>2.2400000000000002</v>
      </c>
      <c r="H129" s="280">
        <v>3.43</v>
      </c>
      <c r="I129" s="180">
        <v>0.23880000000000001</v>
      </c>
      <c r="J129" s="503">
        <f t="shared" ref="J129:J136" si="5">(G129+H129)*E129*1.2388</f>
        <v>4221.4215960000001</v>
      </c>
      <c r="K129" s="504"/>
    </row>
    <row r="130" spans="1:11" x14ac:dyDescent="0.3">
      <c r="A130" s="136" t="s">
        <v>253</v>
      </c>
      <c r="B130" s="36" t="s">
        <v>11</v>
      </c>
      <c r="C130" s="36">
        <v>72376</v>
      </c>
      <c r="D130" s="196" t="s">
        <v>670</v>
      </c>
      <c r="E130" s="35">
        <f>547.7+199.3+2.3</f>
        <v>749.3</v>
      </c>
      <c r="F130" s="35" t="s">
        <v>221</v>
      </c>
      <c r="G130" s="280">
        <v>4.29</v>
      </c>
      <c r="H130" s="280">
        <v>5.73</v>
      </c>
      <c r="I130" s="180">
        <v>0.23880000000000001</v>
      </c>
      <c r="J130" s="503">
        <f t="shared" si="5"/>
        <v>9300.8930567999978</v>
      </c>
      <c r="K130" s="504"/>
    </row>
    <row r="131" spans="1:11" x14ac:dyDescent="0.3">
      <c r="A131" s="136" t="s">
        <v>254</v>
      </c>
      <c r="B131" s="36" t="s">
        <v>11</v>
      </c>
      <c r="C131" s="36">
        <v>72570</v>
      </c>
      <c r="D131" s="196" t="s">
        <v>116</v>
      </c>
      <c r="E131" s="35">
        <f>17+18+5</f>
        <v>40</v>
      </c>
      <c r="F131" s="36" t="s">
        <v>569</v>
      </c>
      <c r="G131" s="280">
        <v>12.07</v>
      </c>
      <c r="H131" s="280">
        <v>8.31</v>
      </c>
      <c r="I131" s="180">
        <v>0.23880000000000001</v>
      </c>
      <c r="J131" s="503">
        <f t="shared" si="5"/>
        <v>1009.8697599999999</v>
      </c>
      <c r="K131" s="504"/>
    </row>
    <row r="132" spans="1:11" x14ac:dyDescent="0.3">
      <c r="A132" s="136" t="s">
        <v>255</v>
      </c>
      <c r="B132" s="36" t="s">
        <v>11</v>
      </c>
      <c r="C132" s="144">
        <v>72575</v>
      </c>
      <c r="D132" s="196" t="s">
        <v>117</v>
      </c>
      <c r="E132" s="35">
        <f>136+16+11</f>
        <v>163</v>
      </c>
      <c r="F132" s="36" t="s">
        <v>569</v>
      </c>
      <c r="G132" s="280">
        <v>16.04</v>
      </c>
      <c r="H132" s="280">
        <v>8.31</v>
      </c>
      <c r="I132" s="180">
        <v>0.23880000000000001</v>
      </c>
      <c r="J132" s="503">
        <f t="shared" si="5"/>
        <v>4916.8591399999996</v>
      </c>
      <c r="K132" s="504"/>
    </row>
    <row r="133" spans="1:11" x14ac:dyDescent="0.3">
      <c r="A133" s="136" t="s">
        <v>256</v>
      </c>
      <c r="B133" s="36" t="s">
        <v>11</v>
      </c>
      <c r="C133" s="144">
        <v>72397</v>
      </c>
      <c r="D133" s="196" t="s">
        <v>661</v>
      </c>
      <c r="E133" s="35">
        <v>3</v>
      </c>
      <c r="F133" s="36" t="s">
        <v>569</v>
      </c>
      <c r="G133" s="280">
        <v>1.96</v>
      </c>
      <c r="H133" s="280">
        <v>0.86</v>
      </c>
      <c r="I133" s="180">
        <v>0.23880000000000001</v>
      </c>
      <c r="J133" s="503">
        <f t="shared" si="5"/>
        <v>10.480247999999998</v>
      </c>
      <c r="K133" s="504"/>
    </row>
    <row r="134" spans="1:11" x14ac:dyDescent="0.3">
      <c r="A134" s="136" t="s">
        <v>257</v>
      </c>
      <c r="B134" s="36" t="s">
        <v>11</v>
      </c>
      <c r="C134" s="144">
        <v>72430</v>
      </c>
      <c r="D134" s="196" t="s">
        <v>662</v>
      </c>
      <c r="E134" s="35">
        <v>29</v>
      </c>
      <c r="F134" s="36" t="s">
        <v>569</v>
      </c>
      <c r="G134" s="280">
        <v>2.34</v>
      </c>
      <c r="H134" s="280">
        <v>0.86</v>
      </c>
      <c r="I134" s="180">
        <v>0.23880000000000001</v>
      </c>
      <c r="J134" s="503">
        <f t="shared" si="5"/>
        <v>114.96063999999998</v>
      </c>
      <c r="K134" s="504"/>
    </row>
    <row r="135" spans="1:11" x14ac:dyDescent="0.3">
      <c r="A135" s="136" t="s">
        <v>258</v>
      </c>
      <c r="B135" s="36" t="s">
        <v>11</v>
      </c>
      <c r="C135" s="144">
        <v>72435</v>
      </c>
      <c r="D135" s="196" t="s">
        <v>663</v>
      </c>
      <c r="E135" s="35">
        <v>45</v>
      </c>
      <c r="F135" s="36" t="s">
        <v>569</v>
      </c>
      <c r="G135" s="280">
        <v>3.25</v>
      </c>
      <c r="H135" s="280">
        <v>0.86</v>
      </c>
      <c r="I135" s="180">
        <v>0.23880000000000001</v>
      </c>
      <c r="J135" s="503">
        <f t="shared" si="5"/>
        <v>229.11606</v>
      </c>
      <c r="K135" s="504"/>
    </row>
    <row r="136" spans="1:11" ht="31.8" thickBot="1" x14ac:dyDescent="0.35">
      <c r="A136" s="136" t="s">
        <v>1144</v>
      </c>
      <c r="B136" s="36" t="s">
        <v>118</v>
      </c>
      <c r="C136" s="144">
        <v>92026</v>
      </c>
      <c r="D136" s="196" t="s">
        <v>119</v>
      </c>
      <c r="E136" s="35">
        <v>6</v>
      </c>
      <c r="F136" s="36" t="s">
        <v>569</v>
      </c>
      <c r="G136" s="551">
        <v>46.87</v>
      </c>
      <c r="H136" s="551"/>
      <c r="I136" s="180">
        <v>0.23880000000000001</v>
      </c>
      <c r="J136" s="503">
        <f t="shared" si="5"/>
        <v>348.37533599999995</v>
      </c>
      <c r="K136" s="504"/>
    </row>
    <row r="137" spans="1:11" ht="16.2" thickBot="1" x14ac:dyDescent="0.35">
      <c r="A137" s="505" t="s">
        <v>8</v>
      </c>
      <c r="B137" s="506"/>
      <c r="C137" s="506"/>
      <c r="D137" s="506"/>
      <c r="E137" s="506"/>
      <c r="F137" s="506"/>
      <c r="G137" s="506"/>
      <c r="H137" s="506"/>
      <c r="I137" s="506"/>
      <c r="J137" s="507"/>
      <c r="K137" s="40">
        <f>SUM(J63:K136)</f>
        <v>417773.00491000002</v>
      </c>
    </row>
    <row r="138" spans="1:11" ht="16.2" thickBot="1" x14ac:dyDescent="0.35">
      <c r="A138" s="495" t="s">
        <v>30</v>
      </c>
      <c r="B138" s="496"/>
      <c r="C138" s="496"/>
      <c r="D138" s="496"/>
      <c r="E138" s="496"/>
      <c r="F138" s="496"/>
      <c r="G138" s="496"/>
      <c r="H138" s="496"/>
      <c r="I138" s="496"/>
      <c r="J138" s="496"/>
      <c r="K138" s="497"/>
    </row>
    <row r="139" spans="1:11" x14ac:dyDescent="0.3">
      <c r="A139" s="135">
        <v>7</v>
      </c>
      <c r="B139" s="140" t="s">
        <v>23</v>
      </c>
      <c r="C139" s="140">
        <v>80000</v>
      </c>
      <c r="D139" s="526" t="s">
        <v>31</v>
      </c>
      <c r="E139" s="526"/>
      <c r="F139" s="526"/>
      <c r="G139" s="526"/>
      <c r="H139" s="526"/>
      <c r="I139" s="526"/>
      <c r="J139" s="526"/>
      <c r="K139" s="527"/>
    </row>
    <row r="140" spans="1:11" x14ac:dyDescent="0.3">
      <c r="A140" s="136" t="s">
        <v>259</v>
      </c>
      <c r="B140" s="36" t="s">
        <v>11</v>
      </c>
      <c r="C140" s="36">
        <v>80500</v>
      </c>
      <c r="D140" s="196" t="s">
        <v>224</v>
      </c>
      <c r="E140" s="35"/>
      <c r="F140" s="36"/>
      <c r="G140" s="280"/>
      <c r="H140" s="280"/>
      <c r="I140" s="127"/>
      <c r="J140" s="73"/>
      <c r="K140" s="43"/>
    </row>
    <row r="141" spans="1:11" x14ac:dyDescent="0.3">
      <c r="A141" s="136" t="s">
        <v>260</v>
      </c>
      <c r="B141" s="36" t="s">
        <v>11</v>
      </c>
      <c r="C141" s="36">
        <v>80501</v>
      </c>
      <c r="D141" s="196" t="s">
        <v>225</v>
      </c>
      <c r="E141" s="35"/>
      <c r="F141" s="36"/>
      <c r="G141" s="280"/>
      <c r="H141" s="280"/>
      <c r="I141" s="127"/>
      <c r="J141" s="73"/>
      <c r="K141" s="43"/>
    </row>
    <row r="142" spans="1:11" x14ac:dyDescent="0.3">
      <c r="A142" s="136" t="s">
        <v>261</v>
      </c>
      <c r="B142" s="36" t="s">
        <v>11</v>
      </c>
      <c r="C142" s="36">
        <v>80503</v>
      </c>
      <c r="D142" s="196" t="s">
        <v>692</v>
      </c>
      <c r="E142" s="35">
        <v>4</v>
      </c>
      <c r="F142" s="36" t="s">
        <v>569</v>
      </c>
      <c r="G142" s="280">
        <v>575.58000000000004</v>
      </c>
      <c r="H142" s="280">
        <v>54.17</v>
      </c>
      <c r="I142" s="134">
        <v>0.23880000000000001</v>
      </c>
      <c r="J142" s="493">
        <f>(G142+H142)*E142*1.2388</f>
        <v>3120.5371999999998</v>
      </c>
      <c r="K142" s="490"/>
    </row>
    <row r="143" spans="1:11" ht="31.2" x14ac:dyDescent="0.3">
      <c r="A143" s="136" t="s">
        <v>262</v>
      </c>
      <c r="B143" s="36" t="s">
        <v>11</v>
      </c>
      <c r="C143" s="36">
        <v>80504</v>
      </c>
      <c r="D143" s="196" t="s">
        <v>226</v>
      </c>
      <c r="E143" s="35">
        <v>9</v>
      </c>
      <c r="F143" s="36" t="s">
        <v>569</v>
      </c>
      <c r="G143" s="280">
        <v>503.67</v>
      </c>
      <c r="H143" s="280">
        <v>68.790000000000006</v>
      </c>
      <c r="I143" s="134">
        <v>0.23880000000000001</v>
      </c>
      <c r="J143" s="493">
        <f t="shared" ref="J143:J146" si="6">(G143+H143)*E143*1.2388</f>
        <v>6382.4710319999995</v>
      </c>
      <c r="K143" s="490"/>
    </row>
    <row r="144" spans="1:11" ht="31.2" x14ac:dyDescent="0.3">
      <c r="A144" s="136" t="s">
        <v>263</v>
      </c>
      <c r="B144" s="36" t="s">
        <v>11</v>
      </c>
      <c r="C144" s="36">
        <v>80519</v>
      </c>
      <c r="D144" s="196" t="s">
        <v>1142</v>
      </c>
      <c r="E144" s="35">
        <v>4</v>
      </c>
      <c r="F144" s="36" t="s">
        <v>569</v>
      </c>
      <c r="G144" s="280">
        <v>480.76</v>
      </c>
      <c r="H144" s="280">
        <v>46.66</v>
      </c>
      <c r="I144" s="134">
        <v>0.23880000000000001</v>
      </c>
      <c r="J144" s="493">
        <f t="shared" ref="J144" si="7">(G144+H144)*E144*1.2388</f>
        <v>2613.4715839999994</v>
      </c>
      <c r="K144" s="490"/>
    </row>
    <row r="145" spans="1:11" ht="31.2" x14ac:dyDescent="0.3">
      <c r="A145" s="136" t="s">
        <v>264</v>
      </c>
      <c r="B145" s="36" t="s">
        <v>11</v>
      </c>
      <c r="C145" s="36">
        <v>80526</v>
      </c>
      <c r="D145" s="196" t="s">
        <v>227</v>
      </c>
      <c r="E145" s="35">
        <v>9</v>
      </c>
      <c r="F145" s="36" t="s">
        <v>569</v>
      </c>
      <c r="G145" s="280">
        <v>116.39</v>
      </c>
      <c r="H145" s="280">
        <v>4.3</v>
      </c>
      <c r="I145" s="134">
        <v>0.23880000000000001</v>
      </c>
      <c r="J145" s="493">
        <f t="shared" si="6"/>
        <v>1345.5969479999999</v>
      </c>
      <c r="K145" s="490"/>
    </row>
    <row r="146" spans="1:11" x14ac:dyDescent="0.3">
      <c r="A146" s="136" t="s">
        <v>265</v>
      </c>
      <c r="B146" s="36" t="s">
        <v>11</v>
      </c>
      <c r="C146" s="36">
        <v>80532</v>
      </c>
      <c r="D146" s="196" t="s">
        <v>228</v>
      </c>
      <c r="E146" s="35">
        <v>13</v>
      </c>
      <c r="F146" s="36" t="s">
        <v>569</v>
      </c>
      <c r="G146" s="280">
        <v>23.16</v>
      </c>
      <c r="H146" s="280">
        <v>10.029999999999999</v>
      </c>
      <c r="I146" s="134">
        <v>0.23880000000000001</v>
      </c>
      <c r="J146" s="493">
        <f t="shared" si="6"/>
        <v>534.5050359999999</v>
      </c>
      <c r="K146" s="490"/>
    </row>
    <row r="147" spans="1:11" x14ac:dyDescent="0.3">
      <c r="A147" s="136" t="s">
        <v>266</v>
      </c>
      <c r="B147" s="36" t="s">
        <v>11</v>
      </c>
      <c r="C147" s="36">
        <v>80540</v>
      </c>
      <c r="D147" s="296" t="s">
        <v>229</v>
      </c>
      <c r="E147" s="35"/>
      <c r="F147" s="36"/>
      <c r="G147" s="280"/>
      <c r="H147" s="280"/>
      <c r="I147" s="134"/>
      <c r="J147" s="493"/>
      <c r="K147" s="490"/>
    </row>
    <row r="148" spans="1:11" x14ac:dyDescent="0.3">
      <c r="A148" s="136" t="s">
        <v>267</v>
      </c>
      <c r="B148" s="36" t="s">
        <v>11</v>
      </c>
      <c r="C148" s="36">
        <v>80542</v>
      </c>
      <c r="D148" s="196" t="s">
        <v>693</v>
      </c>
      <c r="E148" s="35">
        <v>4</v>
      </c>
      <c r="F148" s="36" t="s">
        <v>569</v>
      </c>
      <c r="G148" s="280">
        <v>88.72</v>
      </c>
      <c r="H148" s="280">
        <v>47.01</v>
      </c>
      <c r="I148" s="134">
        <v>0.23880000000000001</v>
      </c>
      <c r="J148" s="493">
        <f>(G148+H148)*E148*1.2388</f>
        <v>672.56929599999989</v>
      </c>
      <c r="K148" s="490"/>
    </row>
    <row r="149" spans="1:11" x14ac:dyDescent="0.3">
      <c r="A149" s="136" t="s">
        <v>268</v>
      </c>
      <c r="B149" s="36" t="s">
        <v>11</v>
      </c>
      <c r="C149" s="36">
        <v>80555</v>
      </c>
      <c r="D149" s="196" t="s">
        <v>230</v>
      </c>
      <c r="E149" s="35">
        <v>2</v>
      </c>
      <c r="F149" s="36" t="s">
        <v>569</v>
      </c>
      <c r="G149" s="280">
        <v>46.39</v>
      </c>
      <c r="H149" s="280">
        <v>7.17</v>
      </c>
      <c r="I149" s="134">
        <v>0.23880000000000001</v>
      </c>
      <c r="J149" s="493">
        <f t="shared" ref="J149:J154" si="8">(G149+H149)*E149*1.2388</f>
        <v>132.700256</v>
      </c>
      <c r="K149" s="490"/>
    </row>
    <row r="150" spans="1:11" x14ac:dyDescent="0.3">
      <c r="A150" s="136" t="s">
        <v>269</v>
      </c>
      <c r="B150" s="36" t="s">
        <v>11</v>
      </c>
      <c r="C150" s="36">
        <v>80556</v>
      </c>
      <c r="D150" s="196" t="s">
        <v>718</v>
      </c>
      <c r="E150" s="35">
        <v>13</v>
      </c>
      <c r="F150" s="36" t="s">
        <v>569</v>
      </c>
      <c r="G150" s="280">
        <v>3.7</v>
      </c>
      <c r="H150" s="280">
        <v>7.17</v>
      </c>
      <c r="I150" s="134">
        <v>0.23880000000000001</v>
      </c>
      <c r="J150" s="493">
        <f t="shared" si="8"/>
        <v>175.05482799999999</v>
      </c>
      <c r="K150" s="490"/>
    </row>
    <row r="151" spans="1:11" x14ac:dyDescent="0.3">
      <c r="A151" s="136" t="s">
        <v>270</v>
      </c>
      <c r="B151" s="36" t="s">
        <v>11</v>
      </c>
      <c r="C151" s="36">
        <v>80562</v>
      </c>
      <c r="D151" s="196" t="s">
        <v>231</v>
      </c>
      <c r="E151" s="35">
        <f>13+2</f>
        <v>15</v>
      </c>
      <c r="F151" s="36" t="s">
        <v>569</v>
      </c>
      <c r="G151" s="281">
        <v>12.75</v>
      </c>
      <c r="H151" s="281">
        <v>10.31</v>
      </c>
      <c r="I151" s="134">
        <v>0.23880000000000001</v>
      </c>
      <c r="J151" s="493">
        <f t="shared" si="8"/>
        <v>428.50092000000001</v>
      </c>
      <c r="K151" s="490"/>
    </row>
    <row r="152" spans="1:11" x14ac:dyDescent="0.3">
      <c r="A152" s="136" t="s">
        <v>271</v>
      </c>
      <c r="B152" s="36" t="s">
        <v>11</v>
      </c>
      <c r="C152" s="36">
        <v>80570</v>
      </c>
      <c r="D152" s="196" t="s">
        <v>232</v>
      </c>
      <c r="E152" s="35">
        <v>13</v>
      </c>
      <c r="F152" s="36" t="s">
        <v>569</v>
      </c>
      <c r="G152" s="280">
        <v>75.459999999999994</v>
      </c>
      <c r="H152" s="280">
        <v>5.73</v>
      </c>
      <c r="I152" s="134">
        <v>0.23880000000000001</v>
      </c>
      <c r="J152" s="493">
        <f t="shared" si="8"/>
        <v>1307.5162359999999</v>
      </c>
      <c r="K152" s="490"/>
    </row>
    <row r="153" spans="1:11" x14ac:dyDescent="0.3">
      <c r="A153" s="136" t="s">
        <v>272</v>
      </c>
      <c r="B153" s="36" t="s">
        <v>11</v>
      </c>
      <c r="C153" s="42">
        <v>80590</v>
      </c>
      <c r="D153" s="199" t="s">
        <v>233</v>
      </c>
      <c r="E153" s="35">
        <v>7</v>
      </c>
      <c r="F153" s="36" t="s">
        <v>569</v>
      </c>
      <c r="G153" s="283">
        <v>104.68</v>
      </c>
      <c r="H153" s="283">
        <v>11.18</v>
      </c>
      <c r="I153" s="134">
        <v>0.23880000000000001</v>
      </c>
      <c r="J153" s="493">
        <f t="shared" si="8"/>
        <v>1004.6915760000001</v>
      </c>
      <c r="K153" s="490"/>
    </row>
    <row r="154" spans="1:11" x14ac:dyDescent="0.3">
      <c r="A154" s="136" t="s">
        <v>273</v>
      </c>
      <c r="B154" s="36" t="s">
        <v>11</v>
      </c>
      <c r="C154" s="42">
        <v>80680</v>
      </c>
      <c r="D154" s="199" t="s">
        <v>241</v>
      </c>
      <c r="E154" s="35">
        <v>11</v>
      </c>
      <c r="F154" s="36" t="s">
        <v>569</v>
      </c>
      <c r="G154" s="283">
        <v>69.08</v>
      </c>
      <c r="H154" s="283">
        <v>6.31</v>
      </c>
      <c r="I154" s="134">
        <v>0.23880000000000001</v>
      </c>
      <c r="J154" s="493">
        <f t="shared" si="8"/>
        <v>1027.3244519999998</v>
      </c>
      <c r="K154" s="490"/>
    </row>
    <row r="155" spans="1:11" x14ac:dyDescent="0.3">
      <c r="A155" s="136" t="s">
        <v>274</v>
      </c>
      <c r="B155" s="36" t="s">
        <v>11</v>
      </c>
      <c r="C155" s="36">
        <v>80600</v>
      </c>
      <c r="D155" s="196" t="s">
        <v>234</v>
      </c>
      <c r="E155" s="35"/>
      <c r="F155" s="36"/>
      <c r="G155" s="280"/>
      <c r="H155" s="280"/>
      <c r="I155" s="134"/>
      <c r="J155" s="493"/>
      <c r="K155" s="490"/>
    </row>
    <row r="156" spans="1:11" x14ac:dyDescent="0.3">
      <c r="A156" s="136" t="s">
        <v>275</v>
      </c>
      <c r="B156" s="36" t="s">
        <v>11</v>
      </c>
      <c r="C156" s="418">
        <v>80601</v>
      </c>
      <c r="D156" s="200" t="s">
        <v>235</v>
      </c>
      <c r="E156" s="35">
        <v>5</v>
      </c>
      <c r="F156" s="36" t="s">
        <v>569</v>
      </c>
      <c r="G156" s="20">
        <v>349.9</v>
      </c>
      <c r="H156" s="21">
        <v>50.16</v>
      </c>
      <c r="I156" s="134">
        <v>0.23880000000000001</v>
      </c>
      <c r="J156" s="493">
        <f>(G156+H156)*E156*1.2388</f>
        <v>2477.9716399999993</v>
      </c>
      <c r="K156" s="490"/>
    </row>
    <row r="157" spans="1:11" x14ac:dyDescent="0.3">
      <c r="A157" s="136" t="s">
        <v>276</v>
      </c>
      <c r="B157" s="36" t="s">
        <v>11</v>
      </c>
      <c r="C157" s="418">
        <v>80610</v>
      </c>
      <c r="D157" s="200" t="s">
        <v>236</v>
      </c>
      <c r="E157" s="35">
        <v>5</v>
      </c>
      <c r="F157" s="36" t="s">
        <v>569</v>
      </c>
      <c r="G157" s="20">
        <v>75.36</v>
      </c>
      <c r="H157" s="21">
        <v>25.8</v>
      </c>
      <c r="I157" s="134">
        <v>0.23880000000000001</v>
      </c>
      <c r="J157" s="493">
        <f t="shared" ref="J157:J158" si="9">(G157+H157)*E157*1.2388</f>
        <v>626.58503999999994</v>
      </c>
      <c r="K157" s="490"/>
    </row>
    <row r="158" spans="1:11" ht="31.2" x14ac:dyDescent="0.3">
      <c r="A158" s="136" t="s">
        <v>277</v>
      </c>
      <c r="B158" s="36" t="s">
        <v>11</v>
      </c>
      <c r="C158" s="418">
        <v>80621</v>
      </c>
      <c r="D158" s="200" t="s">
        <v>237</v>
      </c>
      <c r="E158" s="35">
        <v>5</v>
      </c>
      <c r="F158" s="36" t="s">
        <v>569</v>
      </c>
      <c r="G158" s="20">
        <v>222.46</v>
      </c>
      <c r="H158" s="21">
        <v>17.48</v>
      </c>
      <c r="I158" s="134">
        <v>0.23880000000000001</v>
      </c>
      <c r="J158" s="493">
        <f t="shared" si="9"/>
        <v>1486.1883599999999</v>
      </c>
      <c r="K158" s="490"/>
    </row>
    <row r="159" spans="1:11" x14ac:dyDescent="0.3">
      <c r="A159" s="136" t="s">
        <v>791</v>
      </c>
      <c r="B159" s="36" t="s">
        <v>11</v>
      </c>
      <c r="C159" s="418">
        <v>80650</v>
      </c>
      <c r="D159" s="200" t="s">
        <v>238</v>
      </c>
      <c r="E159" s="44"/>
      <c r="F159" s="41"/>
      <c r="G159" s="20"/>
      <c r="H159" s="21"/>
      <c r="I159" s="134"/>
      <c r="J159" s="493"/>
      <c r="K159" s="490"/>
    </row>
    <row r="160" spans="1:11" x14ac:dyDescent="0.3">
      <c r="A160" s="136" t="s">
        <v>792</v>
      </c>
      <c r="B160" s="36" t="s">
        <v>11</v>
      </c>
      <c r="C160" s="418">
        <v>80651</v>
      </c>
      <c r="D160" s="200" t="s">
        <v>734</v>
      </c>
      <c r="E160" s="44">
        <v>32</v>
      </c>
      <c r="F160" s="36" t="s">
        <v>569</v>
      </c>
      <c r="G160" s="20">
        <v>174.9</v>
      </c>
      <c r="H160" s="21">
        <v>68.790000000000006</v>
      </c>
      <c r="I160" s="134">
        <v>0.23880000000000001</v>
      </c>
      <c r="J160" s="493">
        <f>(G160+H160)*E160*1.2388</f>
        <v>9660.2615039999982</v>
      </c>
      <c r="K160" s="490"/>
    </row>
    <row r="161" spans="1:11" x14ac:dyDescent="0.3">
      <c r="A161" s="136" t="s">
        <v>793</v>
      </c>
      <c r="B161" s="36" t="s">
        <v>11</v>
      </c>
      <c r="C161" s="36">
        <v>80656</v>
      </c>
      <c r="D161" s="196" t="s">
        <v>239</v>
      </c>
      <c r="E161" s="35">
        <v>1</v>
      </c>
      <c r="F161" s="36" t="s">
        <v>569</v>
      </c>
      <c r="G161" s="280">
        <v>147.4</v>
      </c>
      <c r="H161" s="280">
        <v>5.73</v>
      </c>
      <c r="I161" s="134">
        <v>0.23880000000000001</v>
      </c>
      <c r="J161" s="493">
        <f t="shared" ref="J161:J165" si="10">(G161+H161)*E161*1.2388</f>
        <v>189.69744399999999</v>
      </c>
      <c r="K161" s="490"/>
    </row>
    <row r="162" spans="1:11" x14ac:dyDescent="0.3">
      <c r="A162" s="136" t="s">
        <v>794</v>
      </c>
      <c r="B162" s="36" t="s">
        <v>11</v>
      </c>
      <c r="C162" s="36">
        <v>80660</v>
      </c>
      <c r="D162" s="196" t="s">
        <v>713</v>
      </c>
      <c r="E162" s="45">
        <f>3+2+32</f>
        <v>37</v>
      </c>
      <c r="F162" s="36" t="s">
        <v>569</v>
      </c>
      <c r="G162" s="280">
        <v>130.6</v>
      </c>
      <c r="H162" s="280">
        <v>5.73</v>
      </c>
      <c r="I162" s="134">
        <v>0.23880000000000001</v>
      </c>
      <c r="J162" s="493">
        <f t="shared" si="10"/>
        <v>6248.7673479999985</v>
      </c>
      <c r="K162" s="490"/>
    </row>
    <row r="163" spans="1:11" x14ac:dyDescent="0.3">
      <c r="A163" s="136" t="s">
        <v>795</v>
      </c>
      <c r="B163" s="36" t="s">
        <v>11</v>
      </c>
      <c r="C163" s="36">
        <v>80672</v>
      </c>
      <c r="D163" s="196" t="s">
        <v>240</v>
      </c>
      <c r="E163" s="45">
        <f>5+32</f>
        <v>37</v>
      </c>
      <c r="F163" s="36" t="s">
        <v>569</v>
      </c>
      <c r="G163" s="280">
        <v>40.79</v>
      </c>
      <c r="H163" s="280">
        <v>10.31</v>
      </c>
      <c r="I163" s="134">
        <v>0.23880000000000001</v>
      </c>
      <c r="J163" s="493">
        <f t="shared" si="10"/>
        <v>2342.1991599999997</v>
      </c>
      <c r="K163" s="490"/>
    </row>
    <row r="164" spans="1:11" x14ac:dyDescent="0.3">
      <c r="A164" s="136" t="s">
        <v>278</v>
      </c>
      <c r="B164" s="36" t="s">
        <v>11</v>
      </c>
      <c r="C164" s="36">
        <v>80680</v>
      </c>
      <c r="D164" s="196" t="s">
        <v>241</v>
      </c>
      <c r="E164" s="41">
        <f>5+32</f>
        <v>37</v>
      </c>
      <c r="F164" s="36" t="s">
        <v>569</v>
      </c>
      <c r="G164" s="280">
        <v>69.08</v>
      </c>
      <c r="H164" s="280">
        <v>6.31</v>
      </c>
      <c r="I164" s="134">
        <v>0.23880000000000001</v>
      </c>
      <c r="J164" s="493">
        <f t="shared" si="10"/>
        <v>3455.5458839999997</v>
      </c>
      <c r="K164" s="490"/>
    </row>
    <row r="165" spans="1:11" x14ac:dyDescent="0.3">
      <c r="A165" s="136" t="s">
        <v>279</v>
      </c>
      <c r="B165" s="36" t="s">
        <v>11</v>
      </c>
      <c r="C165" s="36">
        <v>80688</v>
      </c>
      <c r="D165" s="196" t="s">
        <v>242</v>
      </c>
      <c r="E165" s="35">
        <v>5</v>
      </c>
      <c r="F165" s="36" t="s">
        <v>569</v>
      </c>
      <c r="G165" s="280">
        <v>137.82</v>
      </c>
      <c r="H165" s="280">
        <v>11.18</v>
      </c>
      <c r="I165" s="134">
        <v>0.23880000000000001</v>
      </c>
      <c r="J165" s="493">
        <f t="shared" si="10"/>
        <v>922.90599999999995</v>
      </c>
      <c r="K165" s="490"/>
    </row>
    <row r="166" spans="1:11" x14ac:dyDescent="0.3">
      <c r="A166" s="136" t="s">
        <v>280</v>
      </c>
      <c r="B166" s="36" t="s">
        <v>11</v>
      </c>
      <c r="C166" s="42">
        <v>80800</v>
      </c>
      <c r="D166" s="199" t="s">
        <v>243</v>
      </c>
      <c r="E166" s="44"/>
      <c r="F166" s="36"/>
      <c r="G166" s="283"/>
      <c r="H166" s="283"/>
      <c r="I166" s="134"/>
      <c r="J166" s="493"/>
      <c r="K166" s="490"/>
    </row>
    <row r="167" spans="1:11" x14ac:dyDescent="0.3">
      <c r="A167" s="136" t="s">
        <v>281</v>
      </c>
      <c r="B167" s="36" t="s">
        <v>11</v>
      </c>
      <c r="C167" s="42">
        <v>80802</v>
      </c>
      <c r="D167" s="199" t="s">
        <v>244</v>
      </c>
      <c r="E167" s="44">
        <v>4</v>
      </c>
      <c r="F167" s="36" t="s">
        <v>569</v>
      </c>
      <c r="G167" s="283">
        <v>295.61</v>
      </c>
      <c r="H167" s="283">
        <v>42.99</v>
      </c>
      <c r="I167" s="134">
        <v>0.23880000000000001</v>
      </c>
      <c r="J167" s="493">
        <f>(G167+H167)*E167*1.2388</f>
        <v>1677.8307199999999</v>
      </c>
      <c r="K167" s="490"/>
    </row>
    <row r="168" spans="1:11" x14ac:dyDescent="0.3">
      <c r="A168" s="136" t="s">
        <v>282</v>
      </c>
      <c r="B168" s="36" t="s">
        <v>11</v>
      </c>
      <c r="C168" s="42">
        <v>80810</v>
      </c>
      <c r="D168" s="199" t="s">
        <v>245</v>
      </c>
      <c r="E168" s="44">
        <v>8</v>
      </c>
      <c r="F168" s="36" t="s">
        <v>569</v>
      </c>
      <c r="G168" s="283">
        <v>76.27</v>
      </c>
      <c r="H168" s="283">
        <v>5.73</v>
      </c>
      <c r="I168" s="134">
        <v>0.23880000000000001</v>
      </c>
      <c r="J168" s="493">
        <f t="shared" ref="J168:J171" si="11">(G168+H168)*E168*1.2388</f>
        <v>812.65279999999996</v>
      </c>
      <c r="K168" s="490"/>
    </row>
    <row r="169" spans="1:11" x14ac:dyDescent="0.3">
      <c r="A169" s="136" t="s">
        <v>283</v>
      </c>
      <c r="B169" s="36" t="s">
        <v>11</v>
      </c>
      <c r="C169" s="42">
        <v>80811</v>
      </c>
      <c r="D169" s="199" t="s">
        <v>487</v>
      </c>
      <c r="E169" s="44">
        <f>3+2+4</f>
        <v>9</v>
      </c>
      <c r="F169" s="36" t="s">
        <v>569</v>
      </c>
      <c r="G169" s="283">
        <v>46.56</v>
      </c>
      <c r="H169" s="283">
        <v>5.73</v>
      </c>
      <c r="I169" s="134">
        <v>0.23880000000000001</v>
      </c>
      <c r="J169" s="493">
        <f t="shared" si="11"/>
        <v>582.991668</v>
      </c>
      <c r="K169" s="490"/>
    </row>
    <row r="170" spans="1:11" x14ac:dyDescent="0.3">
      <c r="A170" s="136" t="s">
        <v>284</v>
      </c>
      <c r="B170" s="36" t="s">
        <v>11</v>
      </c>
      <c r="C170" s="36">
        <v>80819</v>
      </c>
      <c r="D170" s="196" t="s">
        <v>703</v>
      </c>
      <c r="E170" s="35">
        <v>7</v>
      </c>
      <c r="F170" s="36" t="s">
        <v>569</v>
      </c>
      <c r="G170" s="280">
        <v>213.88</v>
      </c>
      <c r="H170" s="280">
        <v>10.31</v>
      </c>
      <c r="I170" s="134">
        <v>0.23880000000000001</v>
      </c>
      <c r="J170" s="493">
        <f t="shared" si="11"/>
        <v>1944.0860039999998</v>
      </c>
      <c r="K170" s="490"/>
    </row>
    <row r="171" spans="1:11" x14ac:dyDescent="0.3">
      <c r="A171" s="136" t="s">
        <v>796</v>
      </c>
      <c r="B171" s="36" t="s">
        <v>11</v>
      </c>
      <c r="C171" s="36">
        <v>80830</v>
      </c>
      <c r="D171" s="196" t="s">
        <v>246</v>
      </c>
      <c r="E171" s="35">
        <f>7+2</f>
        <v>9</v>
      </c>
      <c r="F171" s="36" t="s">
        <v>569</v>
      </c>
      <c r="G171" s="280">
        <v>21.06</v>
      </c>
      <c r="H171" s="280">
        <v>4.3</v>
      </c>
      <c r="I171" s="134">
        <v>0.23880000000000001</v>
      </c>
      <c r="J171" s="493">
        <f t="shared" si="11"/>
        <v>282.74371200000002</v>
      </c>
      <c r="K171" s="490"/>
    </row>
    <row r="172" spans="1:11" x14ac:dyDescent="0.3">
      <c r="A172" s="136" t="s">
        <v>797</v>
      </c>
      <c r="B172" s="36" t="s">
        <v>11</v>
      </c>
      <c r="C172" s="36">
        <v>80900</v>
      </c>
      <c r="D172" s="196" t="s">
        <v>488</v>
      </c>
      <c r="E172" s="35"/>
      <c r="F172" s="36"/>
      <c r="G172" s="280"/>
      <c r="H172" s="280"/>
      <c r="I172" s="134"/>
      <c r="J172" s="493"/>
      <c r="K172" s="490"/>
    </row>
    <row r="173" spans="1:11" x14ac:dyDescent="0.3">
      <c r="A173" s="136" t="s">
        <v>798</v>
      </c>
      <c r="B173" s="36" t="s">
        <v>11</v>
      </c>
      <c r="C173" s="42">
        <v>80926</v>
      </c>
      <c r="D173" s="199" t="s">
        <v>507</v>
      </c>
      <c r="E173" s="44">
        <f>10+32</f>
        <v>42</v>
      </c>
      <c r="F173" s="36" t="s">
        <v>569</v>
      </c>
      <c r="G173" s="283">
        <v>66.430000000000007</v>
      </c>
      <c r="H173" s="283">
        <v>17.48</v>
      </c>
      <c r="I173" s="134">
        <v>0.23880000000000001</v>
      </c>
      <c r="J173" s="493">
        <f>(G173+H173)*E173*1.2388</f>
        <v>4365.8037359999998</v>
      </c>
      <c r="K173" s="490"/>
    </row>
    <row r="174" spans="1:11" x14ac:dyDescent="0.3">
      <c r="A174" s="136" t="s">
        <v>799</v>
      </c>
      <c r="B174" s="36" t="s">
        <v>11</v>
      </c>
      <c r="C174" s="36">
        <v>80929</v>
      </c>
      <c r="D174" s="196" t="s">
        <v>714</v>
      </c>
      <c r="E174" s="35">
        <v>7</v>
      </c>
      <c r="F174" s="36" t="s">
        <v>569</v>
      </c>
      <c r="G174" s="280">
        <v>118.3</v>
      </c>
      <c r="H174" s="280">
        <v>27.23</v>
      </c>
      <c r="I174" s="134">
        <v>0.23880000000000001</v>
      </c>
      <c r="J174" s="493">
        <f t="shared" ref="J174:J179" si="12">(G174+H174)*E174*1.2388</f>
        <v>1261.977948</v>
      </c>
      <c r="K174" s="490"/>
    </row>
    <row r="175" spans="1:11" x14ac:dyDescent="0.3">
      <c r="A175" s="136" t="s">
        <v>800</v>
      </c>
      <c r="B175" s="36" t="s">
        <v>11</v>
      </c>
      <c r="C175" s="42">
        <v>80946</v>
      </c>
      <c r="D175" s="199" t="s">
        <v>508</v>
      </c>
      <c r="E175" s="44">
        <f>2+3+2</f>
        <v>7</v>
      </c>
      <c r="F175" s="36" t="s">
        <v>569</v>
      </c>
      <c r="G175" s="283">
        <v>62.65</v>
      </c>
      <c r="H175" s="283">
        <v>17.48</v>
      </c>
      <c r="I175" s="134">
        <v>0.23880000000000001</v>
      </c>
      <c r="J175" s="493">
        <f t="shared" si="12"/>
        <v>694.85530799999992</v>
      </c>
      <c r="K175" s="490"/>
    </row>
    <row r="176" spans="1:11" x14ac:dyDescent="0.3">
      <c r="A176" s="136" t="s">
        <v>285</v>
      </c>
      <c r="B176" s="36" t="s">
        <v>11</v>
      </c>
      <c r="C176" s="42">
        <v>80977</v>
      </c>
      <c r="D176" s="199" t="s">
        <v>715</v>
      </c>
      <c r="E176" s="44">
        <f>2+4</f>
        <v>6</v>
      </c>
      <c r="F176" s="36" t="s">
        <v>569</v>
      </c>
      <c r="G176" s="283">
        <v>60.41</v>
      </c>
      <c r="H176" s="283">
        <v>15.47</v>
      </c>
      <c r="I176" s="134">
        <v>0.23880000000000001</v>
      </c>
      <c r="J176" s="493">
        <f t="shared" si="12"/>
        <v>564.00086399999986</v>
      </c>
      <c r="K176" s="490"/>
    </row>
    <row r="177" spans="1:11" x14ac:dyDescent="0.3">
      <c r="A177" s="136" t="s">
        <v>801</v>
      </c>
      <c r="B177" s="36" t="s">
        <v>11</v>
      </c>
      <c r="C177" s="42">
        <v>80978</v>
      </c>
      <c r="D177" s="199" t="s">
        <v>716</v>
      </c>
      <c r="E177" s="44">
        <v>5</v>
      </c>
      <c r="F177" s="36" t="s">
        <v>569</v>
      </c>
      <c r="G177" s="283">
        <v>89.95</v>
      </c>
      <c r="H177" s="283">
        <v>24.36</v>
      </c>
      <c r="I177" s="134">
        <v>0.23880000000000001</v>
      </c>
      <c r="J177" s="493">
        <f t="shared" si="12"/>
        <v>708.03613999999993</v>
      </c>
      <c r="K177" s="490"/>
    </row>
    <row r="178" spans="1:11" x14ac:dyDescent="0.3">
      <c r="A178" s="136" t="s">
        <v>802</v>
      </c>
      <c r="B178" s="36" t="s">
        <v>11</v>
      </c>
      <c r="C178" s="42">
        <v>80976</v>
      </c>
      <c r="D178" s="199" t="s">
        <v>1137</v>
      </c>
      <c r="E178" s="44">
        <v>1</v>
      </c>
      <c r="F178" s="36" t="s">
        <v>569</v>
      </c>
      <c r="G178" s="283">
        <v>44.78</v>
      </c>
      <c r="H178" s="283">
        <v>15.47</v>
      </c>
      <c r="I178" s="134">
        <v>0.23880000000000001</v>
      </c>
      <c r="J178" s="493">
        <f t="shared" ref="J178" si="13">(G178+H178)*E178*1.2388</f>
        <v>74.637699999999995</v>
      </c>
      <c r="K178" s="490"/>
    </row>
    <row r="179" spans="1:11" x14ac:dyDescent="0.3">
      <c r="A179" s="136" t="s">
        <v>286</v>
      </c>
      <c r="B179" s="36" t="s">
        <v>11</v>
      </c>
      <c r="C179" s="42">
        <v>80980</v>
      </c>
      <c r="D179" s="199" t="s">
        <v>717</v>
      </c>
      <c r="E179" s="44">
        <v>5</v>
      </c>
      <c r="F179" s="36" t="s">
        <v>569</v>
      </c>
      <c r="G179" s="283">
        <v>166.93</v>
      </c>
      <c r="H179" s="283">
        <v>24.36</v>
      </c>
      <c r="I179" s="134">
        <v>0.23880000000000001</v>
      </c>
      <c r="J179" s="493">
        <f t="shared" si="12"/>
        <v>1184.8502599999999</v>
      </c>
      <c r="K179" s="490"/>
    </row>
    <row r="180" spans="1:11" x14ac:dyDescent="0.3">
      <c r="A180" s="136" t="s">
        <v>803</v>
      </c>
      <c r="B180" s="36" t="s">
        <v>11</v>
      </c>
      <c r="C180" s="42">
        <v>81000</v>
      </c>
      <c r="D180" s="199" t="s">
        <v>509</v>
      </c>
      <c r="E180" s="44"/>
      <c r="F180" s="42"/>
      <c r="G180" s="283"/>
      <c r="H180" s="283"/>
      <c r="I180" s="134"/>
      <c r="J180" s="493"/>
      <c r="K180" s="490"/>
    </row>
    <row r="181" spans="1:11" x14ac:dyDescent="0.3">
      <c r="A181" s="136" t="s">
        <v>804</v>
      </c>
      <c r="B181" s="36" t="s">
        <v>11</v>
      </c>
      <c r="C181" s="42">
        <v>81001</v>
      </c>
      <c r="D181" s="199" t="s">
        <v>510</v>
      </c>
      <c r="E181" s="44"/>
      <c r="F181" s="42"/>
      <c r="G181" s="283"/>
      <c r="H181" s="283"/>
      <c r="I181" s="134"/>
      <c r="J181" s="493"/>
      <c r="K181" s="490"/>
    </row>
    <row r="182" spans="1:11" x14ac:dyDescent="0.3">
      <c r="A182" s="136" t="s">
        <v>287</v>
      </c>
      <c r="B182" s="36" t="s">
        <v>11</v>
      </c>
      <c r="C182" s="42">
        <v>81002</v>
      </c>
      <c r="D182" s="199" t="s">
        <v>1139</v>
      </c>
      <c r="E182" s="44">
        <v>202.7</v>
      </c>
      <c r="F182" s="42" t="s">
        <v>221</v>
      </c>
      <c r="G182" s="283">
        <v>3.35</v>
      </c>
      <c r="H182" s="283">
        <v>2.56</v>
      </c>
      <c r="I182" s="134">
        <v>0.23880000000000001</v>
      </c>
      <c r="J182" s="493">
        <f>(G182+H182)*E182*1.2388</f>
        <v>1484.0291315999998</v>
      </c>
      <c r="K182" s="490"/>
    </row>
    <row r="183" spans="1:11" x14ac:dyDescent="0.3">
      <c r="A183" s="136" t="s">
        <v>288</v>
      </c>
      <c r="B183" s="36" t="s">
        <v>11</v>
      </c>
      <c r="C183" s="42">
        <v>81003</v>
      </c>
      <c r="D183" s="199" t="s">
        <v>511</v>
      </c>
      <c r="E183" s="44">
        <f>91.9+159.8+14.3+50.3+155.9</f>
        <v>472.20000000000005</v>
      </c>
      <c r="F183" s="42" t="s">
        <v>221</v>
      </c>
      <c r="G183" s="283">
        <v>4.28</v>
      </c>
      <c r="H183" s="283">
        <v>3.43</v>
      </c>
      <c r="I183" s="134">
        <v>0.23880000000000001</v>
      </c>
      <c r="J183" s="493">
        <f>(G183+H183)*E183*1.2388</f>
        <v>4510.0520856000003</v>
      </c>
      <c r="K183" s="490"/>
    </row>
    <row r="184" spans="1:11" x14ac:dyDescent="0.3">
      <c r="A184" s="136" t="s">
        <v>805</v>
      </c>
      <c r="B184" s="36" t="s">
        <v>11</v>
      </c>
      <c r="C184" s="42">
        <v>81004</v>
      </c>
      <c r="D184" s="199" t="s">
        <v>512</v>
      </c>
      <c r="E184" s="44">
        <f>21.6</f>
        <v>21.6</v>
      </c>
      <c r="F184" s="42" t="s">
        <v>221</v>
      </c>
      <c r="G184" s="283">
        <v>9.6300000000000008</v>
      </c>
      <c r="H184" s="283">
        <v>3.7</v>
      </c>
      <c r="I184" s="134">
        <v>0.23880000000000001</v>
      </c>
      <c r="J184" s="493">
        <f t="shared" ref="J184:J189" si="14">(G184+H184)*E184*1.2388</f>
        <v>356.68520640000003</v>
      </c>
      <c r="K184" s="490"/>
    </row>
    <row r="185" spans="1:11" x14ac:dyDescent="0.3">
      <c r="A185" s="136" t="s">
        <v>289</v>
      </c>
      <c r="B185" s="36" t="s">
        <v>11</v>
      </c>
      <c r="C185" s="42">
        <v>81006</v>
      </c>
      <c r="D185" s="199" t="s">
        <v>513</v>
      </c>
      <c r="E185" s="44">
        <f>45.3+135.8</f>
        <v>181.10000000000002</v>
      </c>
      <c r="F185" s="42" t="s">
        <v>29</v>
      </c>
      <c r="G185" s="283">
        <v>16.04</v>
      </c>
      <c r="H185" s="283">
        <v>6.39</v>
      </c>
      <c r="I185" s="134">
        <v>0.23880000000000001</v>
      </c>
      <c r="J185" s="493">
        <f t="shared" si="14"/>
        <v>5032.0960323999998</v>
      </c>
      <c r="K185" s="490"/>
    </row>
    <row r="186" spans="1:11" x14ac:dyDescent="0.3">
      <c r="A186" s="136" t="s">
        <v>290</v>
      </c>
      <c r="B186" s="36" t="s">
        <v>11</v>
      </c>
      <c r="C186" s="42">
        <v>81007</v>
      </c>
      <c r="D186" s="199" t="s">
        <v>529</v>
      </c>
      <c r="E186" s="44">
        <v>7.3</v>
      </c>
      <c r="F186" s="42" t="s">
        <v>221</v>
      </c>
      <c r="G186" s="283">
        <v>27.05</v>
      </c>
      <c r="H186" s="283">
        <v>8.51</v>
      </c>
      <c r="I186" s="134">
        <v>0.23880000000000001</v>
      </c>
      <c r="J186" s="493">
        <f t="shared" si="14"/>
        <v>321.57761440000002</v>
      </c>
      <c r="K186" s="490"/>
    </row>
    <row r="187" spans="1:11" x14ac:dyDescent="0.3">
      <c r="A187" s="136" t="s">
        <v>806</v>
      </c>
      <c r="B187" s="36" t="s">
        <v>11</v>
      </c>
      <c r="C187" s="42">
        <v>81055</v>
      </c>
      <c r="D187" s="199" t="s">
        <v>729</v>
      </c>
      <c r="E187" s="44">
        <v>1</v>
      </c>
      <c r="F187" s="36" t="s">
        <v>569</v>
      </c>
      <c r="G187" s="283">
        <v>14.31</v>
      </c>
      <c r="H187" s="283">
        <v>2.58</v>
      </c>
      <c r="I187" s="134">
        <v>0.23880000000000001</v>
      </c>
      <c r="J187" s="493">
        <f t="shared" si="14"/>
        <v>20.923331999999998</v>
      </c>
      <c r="K187" s="490"/>
    </row>
    <row r="188" spans="1:11" x14ac:dyDescent="0.3">
      <c r="A188" s="136" t="s">
        <v>291</v>
      </c>
      <c r="B188" s="36" t="s">
        <v>11</v>
      </c>
      <c r="C188" s="36">
        <v>81066</v>
      </c>
      <c r="D188" s="196" t="s">
        <v>514</v>
      </c>
      <c r="E188" s="35">
        <f>22+2+4+64</f>
        <v>92</v>
      </c>
      <c r="F188" s="36" t="s">
        <v>569</v>
      </c>
      <c r="G188" s="280">
        <v>1.1499999999999999</v>
      </c>
      <c r="H188" s="280">
        <v>2.58</v>
      </c>
      <c r="I188" s="134">
        <v>0.23880000000000001</v>
      </c>
      <c r="J188" s="493">
        <f t="shared" si="14"/>
        <v>425.10660799999999</v>
      </c>
      <c r="K188" s="490"/>
    </row>
    <row r="189" spans="1:11" x14ac:dyDescent="0.3">
      <c r="A189" s="136" t="s">
        <v>292</v>
      </c>
      <c r="B189" s="36" t="s">
        <v>11</v>
      </c>
      <c r="C189" s="36">
        <v>81069</v>
      </c>
      <c r="D189" s="196" t="s">
        <v>515</v>
      </c>
      <c r="E189" s="35">
        <v>25</v>
      </c>
      <c r="F189" s="36" t="s">
        <v>569</v>
      </c>
      <c r="G189" s="280">
        <v>5.34</v>
      </c>
      <c r="H189" s="280">
        <v>4.0199999999999996</v>
      </c>
      <c r="I189" s="134">
        <v>0.23880000000000001</v>
      </c>
      <c r="J189" s="493">
        <f t="shared" si="14"/>
        <v>289.87919999999997</v>
      </c>
      <c r="K189" s="490"/>
    </row>
    <row r="190" spans="1:11" x14ac:dyDescent="0.3">
      <c r="A190" s="136" t="s">
        <v>807</v>
      </c>
      <c r="B190" s="36" t="s">
        <v>11</v>
      </c>
      <c r="C190" s="42">
        <v>81100</v>
      </c>
      <c r="D190" s="199" t="s">
        <v>516</v>
      </c>
      <c r="E190" s="44"/>
      <c r="F190" s="42"/>
      <c r="G190" s="283"/>
      <c r="H190" s="283"/>
      <c r="I190" s="134"/>
      <c r="J190" s="493"/>
      <c r="K190" s="490"/>
    </row>
    <row r="191" spans="1:11" x14ac:dyDescent="0.3">
      <c r="A191" s="136" t="s">
        <v>808</v>
      </c>
      <c r="B191" s="36" t="s">
        <v>11</v>
      </c>
      <c r="C191" s="42">
        <v>81101</v>
      </c>
      <c r="D191" s="199" t="s">
        <v>1141</v>
      </c>
      <c r="E191" s="44">
        <v>1</v>
      </c>
      <c r="F191" s="36" t="s">
        <v>569</v>
      </c>
      <c r="G191" s="283">
        <v>0.72</v>
      </c>
      <c r="H191" s="283">
        <v>2.58</v>
      </c>
      <c r="I191" s="134">
        <v>0.23880000000000001</v>
      </c>
      <c r="J191" s="493">
        <f>(G191+H191)*E191*1.2388</f>
        <v>4.0880399999999995</v>
      </c>
      <c r="K191" s="490"/>
    </row>
    <row r="192" spans="1:11" x14ac:dyDescent="0.3">
      <c r="A192" s="136" t="s">
        <v>809</v>
      </c>
      <c r="B192" s="36" t="s">
        <v>11</v>
      </c>
      <c r="C192" s="42">
        <v>81102</v>
      </c>
      <c r="D192" s="199" t="s">
        <v>517</v>
      </c>
      <c r="E192" s="44">
        <f>9+6+1</f>
        <v>16</v>
      </c>
      <c r="F192" s="36" t="s">
        <v>569</v>
      </c>
      <c r="G192" s="283">
        <v>0.9</v>
      </c>
      <c r="H192" s="283">
        <v>2.58</v>
      </c>
      <c r="I192" s="134">
        <v>0.23880000000000001</v>
      </c>
      <c r="J192" s="493">
        <f>(G192+H192)*E192*1.2388</f>
        <v>68.976383999999996</v>
      </c>
      <c r="K192" s="490"/>
    </row>
    <row r="193" spans="1:11" x14ac:dyDescent="0.3">
      <c r="A193" s="136" t="s">
        <v>293</v>
      </c>
      <c r="B193" s="36" t="s">
        <v>11</v>
      </c>
      <c r="C193" s="42">
        <v>81105</v>
      </c>
      <c r="D193" s="199" t="s">
        <v>722</v>
      </c>
      <c r="E193" s="44">
        <f>5+1</f>
        <v>6</v>
      </c>
      <c r="F193" s="36" t="s">
        <v>569</v>
      </c>
      <c r="G193" s="283">
        <v>5.24</v>
      </c>
      <c r="H193" s="283">
        <v>4.0199999999999996</v>
      </c>
      <c r="I193" s="134">
        <v>0.23880000000000001</v>
      </c>
      <c r="J193" s="493">
        <f t="shared" ref="J193:J194" si="15">(G193+H193)*E193*1.2388</f>
        <v>68.827727999999993</v>
      </c>
      <c r="K193" s="490"/>
    </row>
    <row r="194" spans="1:11" x14ac:dyDescent="0.3">
      <c r="A194" s="136" t="s">
        <v>810</v>
      </c>
      <c r="B194" s="36" t="s">
        <v>11</v>
      </c>
      <c r="C194" s="42">
        <v>81131</v>
      </c>
      <c r="D194" s="199" t="s">
        <v>719</v>
      </c>
      <c r="E194" s="44">
        <v>2</v>
      </c>
      <c r="F194" s="36" t="s">
        <v>569</v>
      </c>
      <c r="G194" s="283">
        <v>2.0099999999999998</v>
      </c>
      <c r="H194" s="283">
        <v>4.3</v>
      </c>
      <c r="I194" s="134">
        <v>0.23880000000000001</v>
      </c>
      <c r="J194" s="493">
        <f t="shared" si="15"/>
        <v>15.633655999999998</v>
      </c>
      <c r="K194" s="490"/>
    </row>
    <row r="195" spans="1:11" x14ac:dyDescent="0.3">
      <c r="A195" s="136" t="s">
        <v>811</v>
      </c>
      <c r="B195" s="36" t="s">
        <v>11</v>
      </c>
      <c r="C195" s="36">
        <v>81160</v>
      </c>
      <c r="D195" s="196" t="s">
        <v>188</v>
      </c>
      <c r="E195" s="35"/>
      <c r="F195" s="36"/>
      <c r="G195" s="280"/>
      <c r="H195" s="280"/>
      <c r="I195" s="134"/>
      <c r="J195" s="493"/>
      <c r="K195" s="490"/>
    </row>
    <row r="196" spans="1:11" x14ac:dyDescent="0.3">
      <c r="A196" s="136" t="s">
        <v>294</v>
      </c>
      <c r="B196" s="36" t="s">
        <v>11</v>
      </c>
      <c r="C196" s="36">
        <v>81179</v>
      </c>
      <c r="D196" s="196" t="s">
        <v>720</v>
      </c>
      <c r="E196" s="35">
        <f>1+1</f>
        <v>2</v>
      </c>
      <c r="F196" s="36" t="s">
        <v>569</v>
      </c>
      <c r="G196" s="280">
        <v>4.75</v>
      </c>
      <c r="H196" s="280">
        <v>4.0199999999999996</v>
      </c>
      <c r="I196" s="134">
        <v>0.23880000000000001</v>
      </c>
      <c r="J196" s="493">
        <f>(G196+H196)*E196*1.2388</f>
        <v>21.728551999999997</v>
      </c>
      <c r="K196" s="490"/>
    </row>
    <row r="197" spans="1:11" x14ac:dyDescent="0.3">
      <c r="A197" s="136" t="s">
        <v>812</v>
      </c>
      <c r="B197" s="36" t="s">
        <v>11</v>
      </c>
      <c r="C197" s="42">
        <v>81181</v>
      </c>
      <c r="D197" s="199" t="s">
        <v>726</v>
      </c>
      <c r="E197" s="44">
        <v>2</v>
      </c>
      <c r="F197" s="36" t="s">
        <v>569</v>
      </c>
      <c r="G197" s="283">
        <v>10.28</v>
      </c>
      <c r="H197" s="283">
        <v>4.0199999999999996</v>
      </c>
      <c r="I197" s="134">
        <v>0.23880000000000001</v>
      </c>
      <c r="J197" s="493">
        <f>(G197+H197)*E197*1.2388</f>
        <v>35.429679999999998</v>
      </c>
      <c r="K197" s="490"/>
    </row>
    <row r="198" spans="1:11" x14ac:dyDescent="0.3">
      <c r="A198" s="136" t="s">
        <v>295</v>
      </c>
      <c r="B198" s="36" t="s">
        <v>11</v>
      </c>
      <c r="C198" s="42">
        <v>81300</v>
      </c>
      <c r="D198" s="199" t="s">
        <v>518</v>
      </c>
      <c r="E198" s="44"/>
      <c r="F198" s="42"/>
      <c r="G198" s="283"/>
      <c r="H198" s="283"/>
      <c r="I198" s="134"/>
      <c r="J198" s="493"/>
      <c r="K198" s="490"/>
    </row>
    <row r="199" spans="1:11" x14ac:dyDescent="0.3">
      <c r="A199" s="136" t="s">
        <v>296</v>
      </c>
      <c r="B199" s="36" t="s">
        <v>11</v>
      </c>
      <c r="C199" s="42">
        <v>81320</v>
      </c>
      <c r="D199" s="199" t="s">
        <v>1140</v>
      </c>
      <c r="E199" s="44">
        <v>5</v>
      </c>
      <c r="F199" s="36" t="s">
        <v>569</v>
      </c>
      <c r="G199" s="283">
        <v>0.3</v>
      </c>
      <c r="H199" s="283">
        <v>5.16</v>
      </c>
      <c r="I199" s="134">
        <v>0.23880000000000001</v>
      </c>
      <c r="J199" s="493">
        <f>(G199+H199)*E199*1.2388</f>
        <v>33.819240000000001</v>
      </c>
      <c r="K199" s="490"/>
    </row>
    <row r="200" spans="1:11" x14ac:dyDescent="0.3">
      <c r="A200" s="136" t="s">
        <v>813</v>
      </c>
      <c r="B200" s="36" t="s">
        <v>11</v>
      </c>
      <c r="C200" s="42">
        <v>81321</v>
      </c>
      <c r="D200" s="199" t="s">
        <v>519</v>
      </c>
      <c r="E200" s="44">
        <f>42+24+4+66+8</f>
        <v>144</v>
      </c>
      <c r="F200" s="36" t="s">
        <v>569</v>
      </c>
      <c r="G200" s="283">
        <v>0.83</v>
      </c>
      <c r="H200" s="283">
        <v>5.16</v>
      </c>
      <c r="I200" s="134">
        <v>0.23880000000000001</v>
      </c>
      <c r="J200" s="493">
        <f>(G200+H200)*E200*1.2388</f>
        <v>1068.5393280000001</v>
      </c>
      <c r="K200" s="490"/>
    </row>
    <row r="201" spans="1:11" x14ac:dyDescent="0.3">
      <c r="A201" s="136" t="s">
        <v>814</v>
      </c>
      <c r="B201" s="36" t="s">
        <v>11</v>
      </c>
      <c r="C201" s="42">
        <v>81322</v>
      </c>
      <c r="D201" s="199" t="s">
        <v>520</v>
      </c>
      <c r="E201" s="44">
        <v>10</v>
      </c>
      <c r="F201" s="36" t="s">
        <v>569</v>
      </c>
      <c r="G201" s="283">
        <v>2.4900000000000002</v>
      </c>
      <c r="H201" s="283">
        <v>5.16</v>
      </c>
      <c r="I201" s="134">
        <v>0.23880000000000001</v>
      </c>
      <c r="J201" s="493">
        <f t="shared" ref="J201:J205" si="16">(G201+H201)*E201*1.2388</f>
        <v>94.768199999999993</v>
      </c>
      <c r="K201" s="490"/>
    </row>
    <row r="202" spans="1:11" x14ac:dyDescent="0.3">
      <c r="A202" s="136" t="s">
        <v>815</v>
      </c>
      <c r="B202" s="36" t="s">
        <v>11</v>
      </c>
      <c r="C202" s="42">
        <v>81324</v>
      </c>
      <c r="D202" s="199" t="s">
        <v>521</v>
      </c>
      <c r="E202" s="44">
        <f>17+3</f>
        <v>20</v>
      </c>
      <c r="F202" s="36" t="s">
        <v>569</v>
      </c>
      <c r="G202" s="283">
        <v>6.42</v>
      </c>
      <c r="H202" s="283">
        <v>8.02</v>
      </c>
      <c r="I202" s="134">
        <v>0.23880000000000001</v>
      </c>
      <c r="J202" s="493">
        <f t="shared" si="16"/>
        <v>357.76544000000001</v>
      </c>
      <c r="K202" s="490"/>
    </row>
    <row r="203" spans="1:11" x14ac:dyDescent="0.3">
      <c r="A203" s="136" t="s">
        <v>297</v>
      </c>
      <c r="B203" s="36" t="s">
        <v>11</v>
      </c>
      <c r="C203" s="36">
        <v>81325</v>
      </c>
      <c r="D203" s="201" t="s">
        <v>562</v>
      </c>
      <c r="E203" s="35">
        <v>1</v>
      </c>
      <c r="F203" s="36" t="s">
        <v>569</v>
      </c>
      <c r="G203" s="281">
        <v>27.8</v>
      </c>
      <c r="H203" s="281">
        <v>8.02</v>
      </c>
      <c r="I203" s="134">
        <v>0.23880000000000001</v>
      </c>
      <c r="J203" s="493">
        <f t="shared" si="16"/>
        <v>44.373815999999998</v>
      </c>
      <c r="K203" s="490"/>
    </row>
    <row r="204" spans="1:11" x14ac:dyDescent="0.3">
      <c r="A204" s="136" t="s">
        <v>816</v>
      </c>
      <c r="B204" s="36" t="s">
        <v>11</v>
      </c>
      <c r="C204" s="42">
        <v>81360</v>
      </c>
      <c r="D204" s="199" t="s">
        <v>523</v>
      </c>
      <c r="E204" s="44">
        <f>2+17+4+4</f>
        <v>27</v>
      </c>
      <c r="F204" s="36" t="s">
        <v>569</v>
      </c>
      <c r="G204" s="283">
        <v>7.1</v>
      </c>
      <c r="H204" s="283">
        <v>3.27</v>
      </c>
      <c r="I204" s="134">
        <v>0.23880000000000001</v>
      </c>
      <c r="J204" s="493">
        <f t="shared" si="16"/>
        <v>346.85161199999993</v>
      </c>
      <c r="K204" s="490"/>
    </row>
    <row r="205" spans="1:11" x14ac:dyDescent="0.3">
      <c r="A205" s="136" t="s">
        <v>817</v>
      </c>
      <c r="B205" s="36" t="s">
        <v>11</v>
      </c>
      <c r="C205" s="42">
        <v>81369</v>
      </c>
      <c r="D205" s="199" t="s">
        <v>522</v>
      </c>
      <c r="E205" s="44">
        <f>6+32</f>
        <v>38</v>
      </c>
      <c r="F205" s="36" t="s">
        <v>569</v>
      </c>
      <c r="G205" s="283">
        <v>8.42</v>
      </c>
      <c r="H205" s="283">
        <v>3.27</v>
      </c>
      <c r="I205" s="134">
        <v>0.23880000000000001</v>
      </c>
      <c r="J205" s="493">
        <f t="shared" si="16"/>
        <v>550.29973599999994</v>
      </c>
      <c r="K205" s="490"/>
    </row>
    <row r="206" spans="1:11" x14ac:dyDescent="0.3">
      <c r="A206" s="136" t="s">
        <v>818</v>
      </c>
      <c r="B206" s="36" t="s">
        <v>11</v>
      </c>
      <c r="C206" s="36">
        <v>81400</v>
      </c>
      <c r="D206" s="196" t="s">
        <v>524</v>
      </c>
      <c r="E206" s="35"/>
      <c r="F206" s="36"/>
      <c r="G206" s="280"/>
      <c r="H206" s="280"/>
      <c r="I206" s="134"/>
      <c r="J206" s="493"/>
      <c r="K206" s="490"/>
    </row>
    <row r="207" spans="1:11" x14ac:dyDescent="0.3">
      <c r="A207" s="136" t="s">
        <v>819</v>
      </c>
      <c r="B207" s="36" t="s">
        <v>11</v>
      </c>
      <c r="C207" s="42">
        <v>81402</v>
      </c>
      <c r="D207" s="199" t="s">
        <v>525</v>
      </c>
      <c r="E207" s="44">
        <f>17+5+3+31+1</f>
        <v>57</v>
      </c>
      <c r="F207" s="36" t="s">
        <v>569</v>
      </c>
      <c r="G207" s="283">
        <v>1.41</v>
      </c>
      <c r="H207" s="283">
        <v>5.45</v>
      </c>
      <c r="I207" s="134">
        <v>0.23880000000000001</v>
      </c>
      <c r="J207" s="493">
        <f>(G207+H207)*E207*1.2388</f>
        <v>484.39557600000001</v>
      </c>
      <c r="K207" s="490"/>
    </row>
    <row r="208" spans="1:11" x14ac:dyDescent="0.3">
      <c r="A208" s="136" t="s">
        <v>820</v>
      </c>
      <c r="B208" s="36" t="s">
        <v>11</v>
      </c>
      <c r="C208" s="42">
        <v>81403</v>
      </c>
      <c r="D208" s="199" t="s">
        <v>526</v>
      </c>
      <c r="E208" s="44">
        <f>5</f>
        <v>5</v>
      </c>
      <c r="F208" s="36" t="s">
        <v>569</v>
      </c>
      <c r="G208" s="283">
        <v>4.71</v>
      </c>
      <c r="H208" s="283">
        <v>5.45</v>
      </c>
      <c r="I208" s="134">
        <v>0.23880000000000001</v>
      </c>
      <c r="J208" s="493">
        <f t="shared" ref="J208:J213" si="17">(G208+H208)*E208*1.2388</f>
        <v>62.931039999999989</v>
      </c>
      <c r="K208" s="490"/>
    </row>
    <row r="209" spans="1:11" x14ac:dyDescent="0.3">
      <c r="A209" s="136" t="s">
        <v>821</v>
      </c>
      <c r="B209" s="36" t="s">
        <v>11</v>
      </c>
      <c r="C209" s="42">
        <v>81405</v>
      </c>
      <c r="D209" s="199" t="s">
        <v>527</v>
      </c>
      <c r="E209" s="44">
        <f>8</f>
        <v>8</v>
      </c>
      <c r="F209" s="36" t="s">
        <v>569</v>
      </c>
      <c r="G209" s="283">
        <v>11.54</v>
      </c>
      <c r="H209" s="283">
        <v>8.6</v>
      </c>
      <c r="I209" s="134">
        <v>0.23880000000000001</v>
      </c>
      <c r="J209" s="493">
        <f t="shared" si="17"/>
        <v>199.59545599999998</v>
      </c>
      <c r="K209" s="490"/>
    </row>
    <row r="210" spans="1:11" x14ac:dyDescent="0.3">
      <c r="A210" s="136" t="s">
        <v>298</v>
      </c>
      <c r="B210" s="36" t="s">
        <v>11</v>
      </c>
      <c r="C210" s="42">
        <v>81406</v>
      </c>
      <c r="D210" s="199" t="s">
        <v>530</v>
      </c>
      <c r="E210" s="44">
        <v>1</v>
      </c>
      <c r="F210" s="36" t="s">
        <v>569</v>
      </c>
      <c r="G210" s="283">
        <v>34.380000000000003</v>
      </c>
      <c r="H210" s="283">
        <v>8.6</v>
      </c>
      <c r="I210" s="134">
        <v>0.23880000000000001</v>
      </c>
      <c r="J210" s="493">
        <f t="shared" si="17"/>
        <v>53.243624000000004</v>
      </c>
      <c r="K210" s="490"/>
    </row>
    <row r="211" spans="1:11" x14ac:dyDescent="0.3">
      <c r="A211" s="136" t="s">
        <v>822</v>
      </c>
      <c r="B211" s="36" t="s">
        <v>11</v>
      </c>
      <c r="C211" s="36">
        <v>81424</v>
      </c>
      <c r="D211" s="196" t="s">
        <v>723</v>
      </c>
      <c r="E211" s="35">
        <f>7+1+2</f>
        <v>10</v>
      </c>
      <c r="F211" s="36" t="s">
        <v>569</v>
      </c>
      <c r="G211" s="280">
        <v>10.19</v>
      </c>
      <c r="H211" s="280">
        <v>8.6</v>
      </c>
      <c r="I211" s="134">
        <v>0.23880000000000001</v>
      </c>
      <c r="J211" s="493">
        <f t="shared" si="17"/>
        <v>232.77051999999995</v>
      </c>
      <c r="K211" s="490"/>
    </row>
    <row r="212" spans="1:11" x14ac:dyDescent="0.3">
      <c r="A212" s="136" t="s">
        <v>299</v>
      </c>
      <c r="B212" s="36" t="s">
        <v>11</v>
      </c>
      <c r="C212" s="42">
        <v>81444</v>
      </c>
      <c r="D212" s="199" t="s">
        <v>725</v>
      </c>
      <c r="E212" s="44">
        <v>5</v>
      </c>
      <c r="F212" s="36" t="s">
        <v>569</v>
      </c>
      <c r="G212" s="283">
        <v>15.05</v>
      </c>
      <c r="H212" s="283">
        <v>5.45</v>
      </c>
      <c r="I212" s="134">
        <v>0.23880000000000001</v>
      </c>
      <c r="J212" s="493">
        <f t="shared" si="17"/>
        <v>126.97699999999999</v>
      </c>
      <c r="K212" s="490"/>
    </row>
    <row r="213" spans="1:11" x14ac:dyDescent="0.3">
      <c r="A213" s="136" t="s">
        <v>300</v>
      </c>
      <c r="B213" s="36" t="s">
        <v>11</v>
      </c>
      <c r="C213" s="42">
        <v>81445</v>
      </c>
      <c r="D213" s="199" t="s">
        <v>724</v>
      </c>
      <c r="E213" s="44">
        <f>5</f>
        <v>5</v>
      </c>
      <c r="F213" s="36" t="s">
        <v>569</v>
      </c>
      <c r="G213" s="283">
        <v>10.16</v>
      </c>
      <c r="H213" s="283">
        <v>5.45</v>
      </c>
      <c r="I213" s="134">
        <v>0.23880000000000001</v>
      </c>
      <c r="J213" s="493">
        <f t="shared" si="17"/>
        <v>96.688339999999982</v>
      </c>
      <c r="K213" s="490"/>
    </row>
    <row r="214" spans="1:11" x14ac:dyDescent="0.3">
      <c r="A214" s="136" t="s">
        <v>823</v>
      </c>
      <c r="B214" s="36" t="s">
        <v>11</v>
      </c>
      <c r="C214" s="36">
        <v>81535</v>
      </c>
      <c r="D214" s="196" t="s">
        <v>528</v>
      </c>
      <c r="E214" s="35"/>
      <c r="F214" s="36"/>
      <c r="G214" s="280"/>
      <c r="H214" s="280"/>
      <c r="I214" s="134"/>
      <c r="J214" s="493"/>
      <c r="K214" s="490"/>
    </row>
    <row r="215" spans="1:11" x14ac:dyDescent="0.3">
      <c r="A215" s="136" t="s">
        <v>301</v>
      </c>
      <c r="B215" s="36" t="s">
        <v>11</v>
      </c>
      <c r="C215" s="36">
        <v>81540</v>
      </c>
      <c r="D215" s="196" t="s">
        <v>721</v>
      </c>
      <c r="E215" s="35">
        <v>1</v>
      </c>
      <c r="F215" s="36" t="s">
        <v>569</v>
      </c>
      <c r="G215" s="280">
        <v>17.260000000000002</v>
      </c>
      <c r="H215" s="280">
        <v>8.02</v>
      </c>
      <c r="I215" s="134">
        <v>0.23880000000000001</v>
      </c>
      <c r="J215" s="493">
        <f>(G215+H215)*E215*1.2388</f>
        <v>31.316863999999999</v>
      </c>
      <c r="K215" s="490"/>
    </row>
    <row r="216" spans="1:11" x14ac:dyDescent="0.3">
      <c r="A216" s="136" t="s">
        <v>302</v>
      </c>
      <c r="B216" s="36" t="s">
        <v>11</v>
      </c>
      <c r="C216" s="42">
        <v>81600</v>
      </c>
      <c r="D216" s="199" t="s">
        <v>187</v>
      </c>
      <c r="E216" s="44"/>
      <c r="F216" s="44"/>
      <c r="G216" s="283"/>
      <c r="H216" s="283"/>
      <c r="I216" s="134"/>
      <c r="J216" s="493"/>
      <c r="K216" s="490"/>
    </row>
    <row r="217" spans="1:11" x14ac:dyDescent="0.3">
      <c r="A217" s="136" t="s">
        <v>303</v>
      </c>
      <c r="B217" s="36" t="s">
        <v>11</v>
      </c>
      <c r="C217" s="42">
        <v>81601</v>
      </c>
      <c r="D217" s="199" t="s">
        <v>188</v>
      </c>
      <c r="E217" s="44"/>
      <c r="F217" s="44"/>
      <c r="G217" s="283"/>
      <c r="H217" s="283"/>
      <c r="I217" s="134"/>
      <c r="J217" s="493"/>
      <c r="K217" s="490"/>
    </row>
    <row r="218" spans="1:11" x14ac:dyDescent="0.3">
      <c r="A218" s="136" t="s">
        <v>304</v>
      </c>
      <c r="B218" s="36" t="s">
        <v>11</v>
      </c>
      <c r="C218" s="42">
        <v>81602</v>
      </c>
      <c r="D218" s="199" t="s">
        <v>189</v>
      </c>
      <c r="E218" s="44">
        <v>4</v>
      </c>
      <c r="F218" s="36" t="s">
        <v>569</v>
      </c>
      <c r="G218" s="283">
        <v>2.81</v>
      </c>
      <c r="H218" s="283">
        <v>4.0199999999999996</v>
      </c>
      <c r="I218" s="134">
        <v>0.23880000000000001</v>
      </c>
      <c r="J218" s="493">
        <f>(G218+H218)*E218*1.2388</f>
        <v>33.844015999999996</v>
      </c>
      <c r="K218" s="490"/>
    </row>
    <row r="219" spans="1:11" x14ac:dyDescent="0.3">
      <c r="A219" s="136" t="s">
        <v>305</v>
      </c>
      <c r="B219" s="36" t="s">
        <v>11</v>
      </c>
      <c r="C219" s="42">
        <v>81660</v>
      </c>
      <c r="D219" s="199" t="s">
        <v>190</v>
      </c>
      <c r="E219" s="44"/>
      <c r="F219" s="44"/>
      <c r="G219" s="283"/>
      <c r="H219" s="283"/>
      <c r="I219" s="134"/>
      <c r="J219" s="493"/>
      <c r="K219" s="490"/>
    </row>
    <row r="220" spans="1:11" x14ac:dyDescent="0.3">
      <c r="A220" s="136" t="s">
        <v>306</v>
      </c>
      <c r="B220" s="178" t="s">
        <v>11</v>
      </c>
      <c r="C220" s="42">
        <v>81663</v>
      </c>
      <c r="D220" s="199" t="s">
        <v>191</v>
      </c>
      <c r="E220" s="188">
        <f>5+1+32</f>
        <v>38</v>
      </c>
      <c r="F220" s="178" t="s">
        <v>569</v>
      </c>
      <c r="G220" s="189">
        <v>41.09</v>
      </c>
      <c r="H220" s="189">
        <v>6.31</v>
      </c>
      <c r="I220" s="180">
        <v>0.23880000000000001</v>
      </c>
      <c r="J220" s="503">
        <f>(G220+H220)*E220*1.2388</f>
        <v>2231.32656</v>
      </c>
      <c r="K220" s="504"/>
    </row>
    <row r="221" spans="1:11" x14ac:dyDescent="0.3">
      <c r="A221" s="136" t="s">
        <v>307</v>
      </c>
      <c r="B221" s="178" t="s">
        <v>11</v>
      </c>
      <c r="C221" s="36">
        <v>81665</v>
      </c>
      <c r="D221" s="196" t="s">
        <v>690</v>
      </c>
      <c r="E221" s="179">
        <v>3</v>
      </c>
      <c r="F221" s="178" t="s">
        <v>569</v>
      </c>
      <c r="G221" s="282">
        <v>74.94</v>
      </c>
      <c r="H221" s="282">
        <v>6.31</v>
      </c>
      <c r="I221" s="180">
        <v>0.23880000000000001</v>
      </c>
      <c r="J221" s="503">
        <f t="shared" ref="J221:J223" si="18">(G221+H221)*E221*1.2388</f>
        <v>301.95749999999998</v>
      </c>
      <c r="K221" s="504"/>
    </row>
    <row r="222" spans="1:11" x14ac:dyDescent="0.3">
      <c r="A222" s="136" t="s">
        <v>824</v>
      </c>
      <c r="B222" s="178" t="s">
        <v>11</v>
      </c>
      <c r="C222" s="36">
        <v>81666</v>
      </c>
      <c r="D222" s="196" t="s">
        <v>691</v>
      </c>
      <c r="E222" s="179">
        <v>3</v>
      </c>
      <c r="F222" s="178" t="s">
        <v>569</v>
      </c>
      <c r="G222" s="282">
        <v>79.430000000000007</v>
      </c>
      <c r="H222" s="282">
        <v>6.31</v>
      </c>
      <c r="I222" s="180">
        <v>0.23880000000000001</v>
      </c>
      <c r="J222" s="503">
        <f t="shared" si="18"/>
        <v>318.644136</v>
      </c>
      <c r="K222" s="504"/>
    </row>
    <row r="223" spans="1:11" x14ac:dyDescent="0.3">
      <c r="A223" s="136" t="s">
        <v>308</v>
      </c>
      <c r="B223" s="178" t="s">
        <v>11</v>
      </c>
      <c r="C223" s="42">
        <v>81690</v>
      </c>
      <c r="D223" s="199" t="s">
        <v>192</v>
      </c>
      <c r="E223" s="188">
        <v>1</v>
      </c>
      <c r="F223" s="178" t="s">
        <v>569</v>
      </c>
      <c r="G223" s="189">
        <v>10.11</v>
      </c>
      <c r="H223" s="189">
        <v>6.31</v>
      </c>
      <c r="I223" s="180">
        <v>0.23880000000000001</v>
      </c>
      <c r="J223" s="503">
        <f t="shared" si="18"/>
        <v>20.341095999999997</v>
      </c>
      <c r="K223" s="504"/>
    </row>
    <row r="224" spans="1:11" x14ac:dyDescent="0.3">
      <c r="A224" s="136" t="s">
        <v>309</v>
      </c>
      <c r="B224" s="36" t="s">
        <v>11</v>
      </c>
      <c r="C224" s="36">
        <v>81700</v>
      </c>
      <c r="D224" s="196" t="s">
        <v>193</v>
      </c>
      <c r="E224" s="35"/>
      <c r="F224" s="36"/>
      <c r="G224" s="280"/>
      <c r="H224" s="280"/>
      <c r="I224" s="134"/>
      <c r="J224" s="493"/>
      <c r="K224" s="490"/>
    </row>
    <row r="225" spans="1:11" x14ac:dyDescent="0.3">
      <c r="A225" s="136" t="s">
        <v>825</v>
      </c>
      <c r="B225" s="36" t="s">
        <v>11</v>
      </c>
      <c r="C225" s="42">
        <v>81701</v>
      </c>
      <c r="D225" s="199" t="s">
        <v>195</v>
      </c>
      <c r="E225" s="44">
        <v>1</v>
      </c>
      <c r="F225" s="36" t="s">
        <v>569</v>
      </c>
      <c r="G225" s="283">
        <v>4.7300000000000004</v>
      </c>
      <c r="H225" s="283">
        <v>7.17</v>
      </c>
      <c r="I225" s="134">
        <v>0.23880000000000001</v>
      </c>
      <c r="J225" s="493">
        <f>(G225+H225)*E225*1.2388</f>
        <v>14.741719999999999</v>
      </c>
      <c r="K225" s="490"/>
    </row>
    <row r="226" spans="1:11" x14ac:dyDescent="0.3">
      <c r="A226" s="136" t="s">
        <v>826</v>
      </c>
      <c r="B226" s="36" t="s">
        <v>11</v>
      </c>
      <c r="C226" s="42">
        <v>81702</v>
      </c>
      <c r="D226" s="199" t="s">
        <v>704</v>
      </c>
      <c r="E226" s="44">
        <f>6+1+9+1</f>
        <v>17</v>
      </c>
      <c r="F226" s="36" t="s">
        <v>569</v>
      </c>
      <c r="G226" s="283">
        <v>31.74</v>
      </c>
      <c r="H226" s="283">
        <v>9.4499999999999993</v>
      </c>
      <c r="I226" s="134">
        <v>0.23880000000000001</v>
      </c>
      <c r="J226" s="493">
        <f t="shared" ref="J226:J230" si="19">(G226+H226)*E226*1.2388</f>
        <v>867.4449239999999</v>
      </c>
      <c r="K226" s="490"/>
    </row>
    <row r="227" spans="1:11" x14ac:dyDescent="0.3">
      <c r="A227" s="136" t="s">
        <v>827</v>
      </c>
      <c r="B227" s="36" t="s">
        <v>11</v>
      </c>
      <c r="C227" s="42">
        <v>81733</v>
      </c>
      <c r="D227" s="199" t="s">
        <v>196</v>
      </c>
      <c r="E227" s="44">
        <v>13</v>
      </c>
      <c r="F227" s="36" t="s">
        <v>569</v>
      </c>
      <c r="G227" s="283">
        <v>27.6</v>
      </c>
      <c r="H227" s="283">
        <v>12.9</v>
      </c>
      <c r="I227" s="134">
        <v>0.23880000000000001</v>
      </c>
      <c r="J227" s="493">
        <f t="shared" si="19"/>
        <v>652.2281999999999</v>
      </c>
      <c r="K227" s="490"/>
    </row>
    <row r="228" spans="1:11" x14ac:dyDescent="0.3">
      <c r="A228" s="136" t="s">
        <v>828</v>
      </c>
      <c r="B228" s="36" t="s">
        <v>11</v>
      </c>
      <c r="C228" s="42">
        <v>81730</v>
      </c>
      <c r="D228" s="199" t="s">
        <v>198</v>
      </c>
      <c r="E228" s="44">
        <v>12</v>
      </c>
      <c r="F228" s="36" t="s">
        <v>569</v>
      </c>
      <c r="G228" s="283">
        <v>5.4</v>
      </c>
      <c r="H228" s="283">
        <v>8.02</v>
      </c>
      <c r="I228" s="134">
        <v>0.23880000000000001</v>
      </c>
      <c r="J228" s="493">
        <f t="shared" si="19"/>
        <v>199.49635199999997</v>
      </c>
      <c r="K228" s="490"/>
    </row>
    <row r="229" spans="1:11" x14ac:dyDescent="0.3">
      <c r="A229" s="136" t="s">
        <v>829</v>
      </c>
      <c r="B229" s="36" t="s">
        <v>11</v>
      </c>
      <c r="C229" s="42">
        <v>81731</v>
      </c>
      <c r="D229" s="199" t="s">
        <v>197</v>
      </c>
      <c r="E229" s="44">
        <f>9+6+1+1+80+60</f>
        <v>157</v>
      </c>
      <c r="F229" s="36" t="s">
        <v>569</v>
      </c>
      <c r="G229" s="283">
        <v>12.27</v>
      </c>
      <c r="H229" s="283">
        <v>8.02</v>
      </c>
      <c r="I229" s="134">
        <v>0.23880000000000001</v>
      </c>
      <c r="J229" s="493">
        <f t="shared" si="19"/>
        <v>3946.2345639999994</v>
      </c>
      <c r="K229" s="490"/>
    </row>
    <row r="230" spans="1:11" x14ac:dyDescent="0.3">
      <c r="A230" s="136" t="s">
        <v>830</v>
      </c>
      <c r="B230" s="36" t="s">
        <v>11</v>
      </c>
      <c r="C230" s="42">
        <v>81737</v>
      </c>
      <c r="D230" s="199" t="s">
        <v>194</v>
      </c>
      <c r="E230" s="44">
        <v>3</v>
      </c>
      <c r="F230" s="36" t="s">
        <v>569</v>
      </c>
      <c r="G230" s="283">
        <v>58.08</v>
      </c>
      <c r="H230" s="283">
        <v>12.9</v>
      </c>
      <c r="I230" s="134">
        <v>0.23880000000000001</v>
      </c>
      <c r="J230" s="493">
        <f t="shared" si="19"/>
        <v>263.79007199999995</v>
      </c>
      <c r="K230" s="490"/>
    </row>
    <row r="231" spans="1:11" x14ac:dyDescent="0.3">
      <c r="A231" s="136" t="s">
        <v>831</v>
      </c>
      <c r="B231" s="36" t="s">
        <v>11</v>
      </c>
      <c r="C231" s="36">
        <v>81810</v>
      </c>
      <c r="D231" s="196" t="s">
        <v>199</v>
      </c>
      <c r="E231" s="35"/>
      <c r="F231" s="36"/>
      <c r="G231" s="280"/>
      <c r="H231" s="280"/>
      <c r="I231" s="134"/>
      <c r="J231" s="493"/>
      <c r="K231" s="490"/>
    </row>
    <row r="232" spans="1:11" x14ac:dyDescent="0.3">
      <c r="A232" s="136" t="s">
        <v>375</v>
      </c>
      <c r="B232" s="36" t="s">
        <v>11</v>
      </c>
      <c r="C232" s="36">
        <v>81811</v>
      </c>
      <c r="D232" s="196" t="s">
        <v>247</v>
      </c>
      <c r="E232" s="35">
        <v>1</v>
      </c>
      <c r="F232" s="36" t="s">
        <v>569</v>
      </c>
      <c r="G232" s="280">
        <v>98.75</v>
      </c>
      <c r="H232" s="280">
        <v>14.33</v>
      </c>
      <c r="I232" s="134">
        <v>0.23880000000000001</v>
      </c>
      <c r="J232" s="493">
        <f>(G232+H232)*E232*1.2388</f>
        <v>140.08350399999998</v>
      </c>
      <c r="K232" s="490"/>
    </row>
    <row r="233" spans="1:11" x14ac:dyDescent="0.3">
      <c r="A233" s="136" t="s">
        <v>832</v>
      </c>
      <c r="B233" s="36" t="s">
        <v>11</v>
      </c>
      <c r="C233" s="418">
        <v>81815</v>
      </c>
      <c r="D233" s="200" t="s">
        <v>248</v>
      </c>
      <c r="E233" s="41">
        <v>1</v>
      </c>
      <c r="F233" s="36" t="s">
        <v>569</v>
      </c>
      <c r="G233" s="20">
        <v>191.48</v>
      </c>
      <c r="H233" s="21">
        <v>101.72</v>
      </c>
      <c r="I233" s="134">
        <v>0.23880000000000001</v>
      </c>
      <c r="J233" s="493">
        <f t="shared" ref="J233:J235" si="20">(G233+H233)*E233*1.2388</f>
        <v>363.21615999999995</v>
      </c>
      <c r="K233" s="490"/>
    </row>
    <row r="234" spans="1:11" x14ac:dyDescent="0.3">
      <c r="A234" s="136" t="s">
        <v>833</v>
      </c>
      <c r="B234" s="178" t="s">
        <v>11</v>
      </c>
      <c r="C234" s="418">
        <v>81829</v>
      </c>
      <c r="D234" s="200" t="s">
        <v>249</v>
      </c>
      <c r="E234" s="190">
        <f>((0.6*0.6*5)+(0.8*0.8*2))</f>
        <v>3.08</v>
      </c>
      <c r="F234" s="187" t="s">
        <v>15</v>
      </c>
      <c r="G234" s="191">
        <v>74.73</v>
      </c>
      <c r="H234" s="192">
        <v>14.51</v>
      </c>
      <c r="I234" s="134">
        <v>0.23880000000000001</v>
      </c>
      <c r="J234" s="493">
        <f t="shared" si="20"/>
        <v>340.49557696000005</v>
      </c>
      <c r="K234" s="490"/>
    </row>
    <row r="235" spans="1:11" ht="31.2" x14ac:dyDescent="0.3">
      <c r="A235" s="136" t="s">
        <v>834</v>
      </c>
      <c r="B235" s="178" t="s">
        <v>11</v>
      </c>
      <c r="C235" s="36">
        <v>81830</v>
      </c>
      <c r="D235" s="196" t="s">
        <v>250</v>
      </c>
      <c r="E235" s="179">
        <f>0.09+0.16</f>
        <v>0.25</v>
      </c>
      <c r="F235" s="476" t="s">
        <v>72</v>
      </c>
      <c r="G235" s="282">
        <v>401.24</v>
      </c>
      <c r="H235" s="282">
        <v>327</v>
      </c>
      <c r="I235" s="134">
        <v>0.23880000000000001</v>
      </c>
      <c r="J235" s="493">
        <f t="shared" si="20"/>
        <v>225.53592799999998</v>
      </c>
      <c r="K235" s="490"/>
    </row>
    <row r="236" spans="1:11" ht="31.2" x14ac:dyDescent="0.3">
      <c r="A236" s="136" t="s">
        <v>835</v>
      </c>
      <c r="B236" s="178" t="s">
        <v>11</v>
      </c>
      <c r="C236" s="418">
        <v>81831</v>
      </c>
      <c r="D236" s="200" t="s">
        <v>251</v>
      </c>
      <c r="E236" s="190">
        <f>(1.8*5)+(0.64*2)</f>
        <v>10.28</v>
      </c>
      <c r="F236" s="187" t="s">
        <v>15</v>
      </c>
      <c r="G236" s="191">
        <v>69.849999999999994</v>
      </c>
      <c r="H236" s="192">
        <v>69.569999999999993</v>
      </c>
      <c r="I236" s="134">
        <v>0.23880000000000001</v>
      </c>
      <c r="J236" s="493">
        <f t="shared" ref="J236:J245" si="21">(G236+H236)*E236*1.2388</f>
        <v>1775.4947388799994</v>
      </c>
      <c r="K236" s="490"/>
    </row>
    <row r="237" spans="1:11" ht="31.2" x14ac:dyDescent="0.3">
      <c r="A237" s="136" t="s">
        <v>376</v>
      </c>
      <c r="B237" s="178" t="s">
        <v>11</v>
      </c>
      <c r="C237" s="36">
        <v>81833</v>
      </c>
      <c r="D237" s="196" t="s">
        <v>252</v>
      </c>
      <c r="E237" s="179">
        <f>(0.216*5)+(0.512*2)</f>
        <v>2.1040000000000001</v>
      </c>
      <c r="F237" s="178" t="s">
        <v>83</v>
      </c>
      <c r="G237" s="282">
        <v>0</v>
      </c>
      <c r="H237" s="282">
        <v>35.99</v>
      </c>
      <c r="I237" s="134">
        <v>0.23880000000000001</v>
      </c>
      <c r="J237" s="493">
        <f t="shared" si="21"/>
        <v>93.805602847999992</v>
      </c>
      <c r="K237" s="490"/>
    </row>
    <row r="238" spans="1:11" ht="31.2" x14ac:dyDescent="0.3">
      <c r="A238" s="136" t="s">
        <v>377</v>
      </c>
      <c r="B238" s="178" t="s">
        <v>11</v>
      </c>
      <c r="C238" s="36">
        <v>81824</v>
      </c>
      <c r="D238" s="196" t="s">
        <v>689</v>
      </c>
      <c r="E238" s="179">
        <v>1</v>
      </c>
      <c r="F238" s="178" t="s">
        <v>569</v>
      </c>
      <c r="G238" s="282">
        <v>274.39</v>
      </c>
      <c r="H238" s="282">
        <v>156.78</v>
      </c>
      <c r="I238" s="134">
        <v>0.23880000000000001</v>
      </c>
      <c r="J238" s="493">
        <f t="shared" si="21"/>
        <v>534.13339599999995</v>
      </c>
      <c r="K238" s="490"/>
    </row>
    <row r="239" spans="1:11" x14ac:dyDescent="0.3">
      <c r="A239" s="136" t="s">
        <v>378</v>
      </c>
      <c r="B239" s="178" t="s">
        <v>11</v>
      </c>
      <c r="C239" s="36">
        <v>81825</v>
      </c>
      <c r="D239" s="196" t="s">
        <v>687</v>
      </c>
      <c r="E239" s="179">
        <f>12+2</f>
        <v>14</v>
      </c>
      <c r="F239" s="178" t="s">
        <v>569</v>
      </c>
      <c r="G239" s="282">
        <v>185.95</v>
      </c>
      <c r="H239" s="282">
        <v>216.23</v>
      </c>
      <c r="I239" s="134">
        <v>0.23880000000000001</v>
      </c>
      <c r="J239" s="493">
        <f t="shared" si="21"/>
        <v>6975.0881759999993</v>
      </c>
      <c r="K239" s="490"/>
    </row>
    <row r="240" spans="1:11" ht="31.2" x14ac:dyDescent="0.3">
      <c r="A240" s="136" t="s">
        <v>379</v>
      </c>
      <c r="B240" s="178" t="s">
        <v>11</v>
      </c>
      <c r="C240" s="36">
        <v>81826</v>
      </c>
      <c r="D240" s="196" t="s">
        <v>688</v>
      </c>
      <c r="E240" s="179">
        <f>12+2</f>
        <v>14</v>
      </c>
      <c r="F240" s="178" t="s">
        <v>569</v>
      </c>
      <c r="G240" s="282">
        <v>60.53</v>
      </c>
      <c r="H240" s="282">
        <v>11.74</v>
      </c>
      <c r="I240" s="134">
        <v>0.23880000000000001</v>
      </c>
      <c r="J240" s="493">
        <f t="shared" si="21"/>
        <v>1253.3930639999999</v>
      </c>
      <c r="K240" s="490"/>
    </row>
    <row r="241" spans="1:11" ht="31.2" x14ac:dyDescent="0.3">
      <c r="A241" s="136" t="s">
        <v>836</v>
      </c>
      <c r="B241" s="178" t="s">
        <v>11</v>
      </c>
      <c r="C241" s="36">
        <v>81846</v>
      </c>
      <c r="D241" s="196" t="s">
        <v>1165</v>
      </c>
      <c r="E241" s="179">
        <v>47</v>
      </c>
      <c r="F241" s="178" t="s">
        <v>569</v>
      </c>
      <c r="G241" s="282">
        <v>318.57</v>
      </c>
      <c r="H241" s="282">
        <v>25.23</v>
      </c>
      <c r="I241" s="134">
        <v>0.23880000000000001</v>
      </c>
      <c r="J241" s="493">
        <f t="shared" si="21"/>
        <v>20017.273679999998</v>
      </c>
      <c r="K241" s="490"/>
    </row>
    <row r="242" spans="1:11" x14ac:dyDescent="0.3">
      <c r="A242" s="136" t="s">
        <v>380</v>
      </c>
      <c r="B242" s="36" t="s">
        <v>11</v>
      </c>
      <c r="C242" s="42">
        <v>81851</v>
      </c>
      <c r="D242" s="199" t="s">
        <v>1166</v>
      </c>
      <c r="E242" s="44">
        <v>2</v>
      </c>
      <c r="F242" s="36" t="s">
        <v>569</v>
      </c>
      <c r="G242" s="283">
        <v>315.39999999999998</v>
      </c>
      <c r="H242" s="283">
        <v>196.34</v>
      </c>
      <c r="I242" s="134">
        <v>0.23880000000000001</v>
      </c>
      <c r="J242" s="493">
        <f t="shared" si="21"/>
        <v>1267.8870239999999</v>
      </c>
      <c r="K242" s="490"/>
    </row>
    <row r="243" spans="1:11" x14ac:dyDescent="0.3">
      <c r="A243" s="136" t="s">
        <v>381</v>
      </c>
      <c r="B243" s="36" t="s">
        <v>11</v>
      </c>
      <c r="C243" s="42">
        <v>81860</v>
      </c>
      <c r="D243" s="199" t="s">
        <v>727</v>
      </c>
      <c r="E243" s="44">
        <f>1+1</f>
        <v>2</v>
      </c>
      <c r="F243" s="36" t="s">
        <v>569</v>
      </c>
      <c r="G243" s="283">
        <v>216.68</v>
      </c>
      <c r="H243" s="283">
        <v>85.98</v>
      </c>
      <c r="I243" s="134">
        <v>0.23880000000000001</v>
      </c>
      <c r="J243" s="493">
        <f t="shared" si="21"/>
        <v>749.87041599999998</v>
      </c>
      <c r="K243" s="490"/>
    </row>
    <row r="244" spans="1:11" x14ac:dyDescent="0.3">
      <c r="A244" s="136" t="s">
        <v>382</v>
      </c>
      <c r="B244" s="36" t="s">
        <v>11</v>
      </c>
      <c r="C244" s="419">
        <v>81861</v>
      </c>
      <c r="D244" s="199" t="s">
        <v>593</v>
      </c>
      <c r="E244" s="44">
        <v>5</v>
      </c>
      <c r="F244" s="36" t="s">
        <v>569</v>
      </c>
      <c r="G244" s="283">
        <v>377.41</v>
      </c>
      <c r="H244" s="283">
        <v>85.98</v>
      </c>
      <c r="I244" s="134">
        <v>0.23880000000000001</v>
      </c>
      <c r="J244" s="493">
        <f t="shared" si="21"/>
        <v>2870.2376600000002</v>
      </c>
      <c r="K244" s="490"/>
    </row>
    <row r="245" spans="1:11" ht="31.2" x14ac:dyDescent="0.3">
      <c r="A245" s="136" t="s">
        <v>837</v>
      </c>
      <c r="B245" s="36" t="s">
        <v>11</v>
      </c>
      <c r="C245" s="419">
        <v>81882</v>
      </c>
      <c r="D245" s="199" t="s">
        <v>728</v>
      </c>
      <c r="E245" s="44">
        <v>1</v>
      </c>
      <c r="F245" s="36" t="s">
        <v>569</v>
      </c>
      <c r="G245" s="283">
        <v>23074.78</v>
      </c>
      <c r="H245" s="283">
        <v>1282.29</v>
      </c>
      <c r="I245" s="134">
        <v>0.23880000000000001</v>
      </c>
      <c r="J245" s="493">
        <f t="shared" si="21"/>
        <v>30173.538315999998</v>
      </c>
      <c r="K245" s="490"/>
    </row>
    <row r="246" spans="1:11" x14ac:dyDescent="0.3">
      <c r="A246" s="136" t="s">
        <v>383</v>
      </c>
      <c r="B246" s="36" t="s">
        <v>11</v>
      </c>
      <c r="C246" s="42">
        <v>81920</v>
      </c>
      <c r="D246" s="199" t="s">
        <v>200</v>
      </c>
      <c r="E246" s="44"/>
      <c r="F246" s="42"/>
      <c r="G246" s="283"/>
      <c r="H246" s="283"/>
      <c r="I246" s="134"/>
      <c r="J246" s="493"/>
      <c r="K246" s="490"/>
    </row>
    <row r="247" spans="1:11" x14ac:dyDescent="0.3">
      <c r="A247" s="136" t="s">
        <v>384</v>
      </c>
      <c r="B247" s="36" t="s">
        <v>11</v>
      </c>
      <c r="C247" s="42">
        <v>81922</v>
      </c>
      <c r="D247" s="199" t="s">
        <v>709</v>
      </c>
      <c r="E247" s="44">
        <v>3</v>
      </c>
      <c r="F247" s="36" t="s">
        <v>569</v>
      </c>
      <c r="G247" s="283">
        <v>3.93</v>
      </c>
      <c r="H247" s="283">
        <v>8.02</v>
      </c>
      <c r="I247" s="134">
        <v>0.23880000000000001</v>
      </c>
      <c r="J247" s="493">
        <f>(G247+H247)*E247*1.2388</f>
        <v>44.410979999999988</v>
      </c>
      <c r="K247" s="490"/>
    </row>
    <row r="248" spans="1:11" x14ac:dyDescent="0.3">
      <c r="A248" s="136" t="s">
        <v>385</v>
      </c>
      <c r="B248" s="36" t="s">
        <v>11</v>
      </c>
      <c r="C248" s="42">
        <v>81927</v>
      </c>
      <c r="D248" s="199" t="s">
        <v>201</v>
      </c>
      <c r="E248" s="44">
        <v>11</v>
      </c>
      <c r="F248" s="36" t="s">
        <v>569</v>
      </c>
      <c r="G248" s="283">
        <v>5.03</v>
      </c>
      <c r="H248" s="283">
        <v>8.02</v>
      </c>
      <c r="I248" s="134">
        <v>0.23880000000000001</v>
      </c>
      <c r="J248" s="493">
        <f t="shared" ref="J248:J253" si="22">(G248+H248)*E248*1.2388</f>
        <v>177.82973999999999</v>
      </c>
      <c r="K248" s="490"/>
    </row>
    <row r="249" spans="1:11" x14ac:dyDescent="0.3">
      <c r="A249" s="136" t="s">
        <v>386</v>
      </c>
      <c r="B249" s="36" t="s">
        <v>11</v>
      </c>
      <c r="C249" s="42">
        <v>81923</v>
      </c>
      <c r="D249" s="199" t="s">
        <v>705</v>
      </c>
      <c r="E249" s="44">
        <v>1</v>
      </c>
      <c r="F249" s="36" t="s">
        <v>569</v>
      </c>
      <c r="G249" s="283">
        <v>9.3000000000000007</v>
      </c>
      <c r="H249" s="283">
        <v>10.31</v>
      </c>
      <c r="I249" s="134">
        <v>0.23880000000000001</v>
      </c>
      <c r="J249" s="493">
        <f t="shared" si="22"/>
        <v>24.292867999999999</v>
      </c>
      <c r="K249" s="490"/>
    </row>
    <row r="250" spans="1:11" x14ac:dyDescent="0.3">
      <c r="A250" s="136" t="s">
        <v>387</v>
      </c>
      <c r="B250" s="36" t="s">
        <v>11</v>
      </c>
      <c r="C250" s="42">
        <v>81936</v>
      </c>
      <c r="D250" s="199" t="s">
        <v>203</v>
      </c>
      <c r="E250" s="44">
        <f>26+27+4+1+64+96</f>
        <v>218</v>
      </c>
      <c r="F250" s="36" t="s">
        <v>569</v>
      </c>
      <c r="G250" s="281">
        <v>3.15</v>
      </c>
      <c r="H250" s="281">
        <v>8.02</v>
      </c>
      <c r="I250" s="134">
        <v>0.23880000000000001</v>
      </c>
      <c r="J250" s="493">
        <f t="shared" si="22"/>
        <v>3016.5523279999998</v>
      </c>
      <c r="K250" s="490"/>
    </row>
    <row r="251" spans="1:11" x14ac:dyDescent="0.3">
      <c r="A251" s="136" t="s">
        <v>838</v>
      </c>
      <c r="B251" s="36" t="s">
        <v>11</v>
      </c>
      <c r="C251" s="42">
        <v>81937</v>
      </c>
      <c r="D251" s="199" t="s">
        <v>202</v>
      </c>
      <c r="E251" s="44">
        <v>10</v>
      </c>
      <c r="F251" s="36" t="s">
        <v>569</v>
      </c>
      <c r="G251" s="283">
        <v>8.1999999999999993</v>
      </c>
      <c r="H251" s="283">
        <v>10.31</v>
      </c>
      <c r="I251" s="134">
        <v>0.23880000000000001</v>
      </c>
      <c r="J251" s="493">
        <f t="shared" si="22"/>
        <v>229.30187999999993</v>
      </c>
      <c r="K251" s="490"/>
    </row>
    <row r="252" spans="1:11" x14ac:dyDescent="0.3">
      <c r="A252" s="136" t="s">
        <v>839</v>
      </c>
      <c r="B252" s="36" t="s">
        <v>11</v>
      </c>
      <c r="C252" s="42">
        <v>81938</v>
      </c>
      <c r="D252" s="199" t="s">
        <v>204</v>
      </c>
      <c r="E252" s="44">
        <f>15+2+7</f>
        <v>24</v>
      </c>
      <c r="F252" s="36" t="s">
        <v>569</v>
      </c>
      <c r="G252" s="283">
        <v>10.43</v>
      </c>
      <c r="H252" s="283">
        <v>12.9</v>
      </c>
      <c r="I252" s="134">
        <v>0.23880000000000001</v>
      </c>
      <c r="J252" s="493">
        <f t="shared" si="22"/>
        <v>693.62889599999994</v>
      </c>
      <c r="K252" s="490"/>
    </row>
    <row r="253" spans="1:11" x14ac:dyDescent="0.3">
      <c r="A253" s="136" t="s">
        <v>840</v>
      </c>
      <c r="B253" s="36" t="s">
        <v>11</v>
      </c>
      <c r="C253" s="419">
        <v>81885</v>
      </c>
      <c r="D253" s="199" t="s">
        <v>710</v>
      </c>
      <c r="E253" s="44">
        <f>6+2</f>
        <v>8</v>
      </c>
      <c r="F253" s="36" t="s">
        <v>569</v>
      </c>
      <c r="G253" s="175">
        <v>8.31</v>
      </c>
      <c r="H253" s="176">
        <v>2</v>
      </c>
      <c r="I253" s="134">
        <v>0.23880000000000001</v>
      </c>
      <c r="J253" s="493">
        <f t="shared" si="22"/>
        <v>102.17622399999999</v>
      </c>
      <c r="K253" s="490"/>
    </row>
    <row r="254" spans="1:11" x14ac:dyDescent="0.3">
      <c r="A254" s="136" t="s">
        <v>489</v>
      </c>
      <c r="B254" s="36" t="s">
        <v>11</v>
      </c>
      <c r="C254" s="42">
        <v>81960</v>
      </c>
      <c r="D254" s="199" t="s">
        <v>205</v>
      </c>
      <c r="E254" s="44"/>
      <c r="F254" s="42"/>
      <c r="G254" s="283"/>
      <c r="H254" s="283"/>
      <c r="I254" s="134"/>
      <c r="J254" s="493"/>
      <c r="K254" s="490"/>
    </row>
    <row r="255" spans="1:11" x14ac:dyDescent="0.3">
      <c r="A255" s="136" t="s">
        <v>490</v>
      </c>
      <c r="B255" s="36" t="s">
        <v>11</v>
      </c>
      <c r="C255" s="42">
        <v>81970</v>
      </c>
      <c r="D255" s="199" t="s">
        <v>206</v>
      </c>
      <c r="E255" s="44">
        <f>4+2</f>
        <v>6</v>
      </c>
      <c r="F255" s="36" t="s">
        <v>569</v>
      </c>
      <c r="G255" s="283">
        <v>11.1</v>
      </c>
      <c r="H255" s="283">
        <v>8.31</v>
      </c>
      <c r="I255" s="134">
        <v>0.23880000000000001</v>
      </c>
      <c r="J255" s="493">
        <f>(G255+H255)*E255*1.2388</f>
        <v>144.27064799999999</v>
      </c>
      <c r="K255" s="490"/>
    </row>
    <row r="256" spans="1:11" x14ac:dyDescent="0.3">
      <c r="A256" s="136" t="s">
        <v>491</v>
      </c>
      <c r="B256" s="36" t="s">
        <v>11</v>
      </c>
      <c r="C256" s="42">
        <v>81972</v>
      </c>
      <c r="D256" s="199" t="s">
        <v>207</v>
      </c>
      <c r="E256" s="44">
        <v>5</v>
      </c>
      <c r="F256" s="36" t="s">
        <v>569</v>
      </c>
      <c r="G256" s="283">
        <v>20.79</v>
      </c>
      <c r="H256" s="283">
        <v>10.6</v>
      </c>
      <c r="I256" s="134">
        <v>0.23880000000000001</v>
      </c>
      <c r="J256" s="493">
        <f t="shared" ref="J256:J259" si="23">(G256+H256)*E256*1.2388</f>
        <v>194.42965999999998</v>
      </c>
      <c r="K256" s="490"/>
    </row>
    <row r="257" spans="1:11" x14ac:dyDescent="0.3">
      <c r="A257" s="136" t="s">
        <v>492</v>
      </c>
      <c r="B257" s="36" t="s">
        <v>11</v>
      </c>
      <c r="C257" s="36">
        <v>81973</v>
      </c>
      <c r="D257" s="196" t="s">
        <v>208</v>
      </c>
      <c r="E257" s="35">
        <f>6+48</f>
        <v>54</v>
      </c>
      <c r="F257" s="36" t="s">
        <v>569</v>
      </c>
      <c r="G257" s="280">
        <v>20.39</v>
      </c>
      <c r="H257" s="280">
        <v>13.19</v>
      </c>
      <c r="I257" s="134">
        <v>0.23880000000000001</v>
      </c>
      <c r="J257" s="493">
        <f t="shared" si="23"/>
        <v>2246.3408159999999</v>
      </c>
      <c r="K257" s="490"/>
    </row>
    <row r="258" spans="1:11" x14ac:dyDescent="0.3">
      <c r="A258" s="136" t="s">
        <v>841</v>
      </c>
      <c r="B258" s="36" t="s">
        <v>11</v>
      </c>
      <c r="C258" s="420">
        <v>81974</v>
      </c>
      <c r="D258" s="200" t="s">
        <v>209</v>
      </c>
      <c r="E258" s="41">
        <f>6+2</f>
        <v>8</v>
      </c>
      <c r="F258" s="36" t="s">
        <v>569</v>
      </c>
      <c r="G258" s="20">
        <v>29.39</v>
      </c>
      <c r="H258" s="21">
        <v>13.19</v>
      </c>
      <c r="I258" s="134">
        <v>0.23880000000000001</v>
      </c>
      <c r="J258" s="493">
        <f t="shared" si="23"/>
        <v>421.98483199999993</v>
      </c>
      <c r="K258" s="490"/>
    </row>
    <row r="259" spans="1:11" x14ac:dyDescent="0.3">
      <c r="A259" s="136" t="s">
        <v>842</v>
      </c>
      <c r="B259" s="36" t="s">
        <v>11</v>
      </c>
      <c r="C259" s="36">
        <v>81975</v>
      </c>
      <c r="D259" s="196" t="s">
        <v>210</v>
      </c>
      <c r="E259" s="35">
        <v>8</v>
      </c>
      <c r="F259" s="36" t="s">
        <v>569</v>
      </c>
      <c r="G259" s="280">
        <v>32.28</v>
      </c>
      <c r="H259" s="280">
        <v>13.19</v>
      </c>
      <c r="I259" s="134">
        <v>0.23880000000000001</v>
      </c>
      <c r="J259" s="493">
        <f t="shared" si="23"/>
        <v>450.62588799999997</v>
      </c>
      <c r="K259" s="490"/>
    </row>
    <row r="260" spans="1:11" x14ac:dyDescent="0.3">
      <c r="A260" s="136" t="s">
        <v>843</v>
      </c>
      <c r="B260" s="36" t="s">
        <v>11</v>
      </c>
      <c r="C260" s="36">
        <v>82000</v>
      </c>
      <c r="D260" s="196" t="s">
        <v>706</v>
      </c>
      <c r="E260" s="35"/>
      <c r="F260" s="36"/>
      <c r="G260" s="280"/>
      <c r="H260" s="280"/>
      <c r="I260" s="134"/>
      <c r="J260" s="278"/>
      <c r="K260" s="279"/>
    </row>
    <row r="261" spans="1:11" x14ac:dyDescent="0.3">
      <c r="A261" s="136" t="s">
        <v>493</v>
      </c>
      <c r="B261" s="36" t="s">
        <v>11</v>
      </c>
      <c r="C261" s="36">
        <v>82002</v>
      </c>
      <c r="D261" s="196" t="s">
        <v>707</v>
      </c>
      <c r="E261" s="35">
        <f>8+2</f>
        <v>10</v>
      </c>
      <c r="F261" s="36" t="s">
        <v>569</v>
      </c>
      <c r="G261" s="280">
        <v>3.62</v>
      </c>
      <c r="H261" s="280">
        <v>4.0199999999999996</v>
      </c>
      <c r="I261" s="134">
        <v>0.23880000000000001</v>
      </c>
      <c r="J261" s="493">
        <f>(G261+H261)*E261*1.2388</f>
        <v>94.644319999999979</v>
      </c>
      <c r="K261" s="490"/>
    </row>
    <row r="262" spans="1:11" x14ac:dyDescent="0.3">
      <c r="A262" s="136" t="s">
        <v>494</v>
      </c>
      <c r="B262" s="36" t="s">
        <v>11</v>
      </c>
      <c r="C262" s="36">
        <v>82004</v>
      </c>
      <c r="D262" s="196" t="s">
        <v>708</v>
      </c>
      <c r="E262" s="35">
        <v>17</v>
      </c>
      <c r="F262" s="36" t="s">
        <v>569</v>
      </c>
      <c r="G262" s="280">
        <v>7.95</v>
      </c>
      <c r="H262" s="280">
        <v>6.59</v>
      </c>
      <c r="I262" s="134">
        <v>0.23880000000000001</v>
      </c>
      <c r="J262" s="493">
        <f>(G262+H262)*E262*1.2388</f>
        <v>306.20658399999996</v>
      </c>
      <c r="K262" s="490"/>
    </row>
    <row r="263" spans="1:11" x14ac:dyDescent="0.3">
      <c r="A263" s="136" t="s">
        <v>495</v>
      </c>
      <c r="B263" s="36" t="s">
        <v>11</v>
      </c>
      <c r="C263" s="36">
        <v>82050</v>
      </c>
      <c r="D263" s="196" t="s">
        <v>212</v>
      </c>
      <c r="E263" s="35"/>
      <c r="F263" s="36"/>
      <c r="G263" s="280"/>
      <c r="H263" s="280"/>
      <c r="I263" s="134"/>
      <c r="J263" s="493"/>
      <c r="K263" s="490"/>
    </row>
    <row r="264" spans="1:11" x14ac:dyDescent="0.3">
      <c r="A264" s="136" t="s">
        <v>496</v>
      </c>
      <c r="B264" s="36" t="s">
        <v>11</v>
      </c>
      <c r="C264" s="418">
        <v>82053</v>
      </c>
      <c r="D264" s="200" t="s">
        <v>211</v>
      </c>
      <c r="E264" s="44">
        <v>1</v>
      </c>
      <c r="F264" s="36" t="s">
        <v>569</v>
      </c>
      <c r="G264" s="20">
        <v>8.41</v>
      </c>
      <c r="H264" s="21">
        <v>2.56</v>
      </c>
      <c r="I264" s="134">
        <v>0.23880000000000001</v>
      </c>
      <c r="J264" s="493">
        <f>(G264+H264)*E264*1.2388</f>
        <v>13.589636</v>
      </c>
      <c r="K264" s="490"/>
    </row>
    <row r="265" spans="1:11" x14ac:dyDescent="0.3">
      <c r="A265" s="136" t="s">
        <v>844</v>
      </c>
      <c r="B265" s="36" t="s">
        <v>11</v>
      </c>
      <c r="C265" s="36">
        <v>82100</v>
      </c>
      <c r="D265" s="196" t="s">
        <v>213</v>
      </c>
      <c r="E265" s="35"/>
      <c r="F265" s="36"/>
      <c r="G265" s="280"/>
      <c r="H265" s="280"/>
      <c r="I265" s="134"/>
      <c r="J265" s="493"/>
      <c r="K265" s="490"/>
    </row>
    <row r="266" spans="1:11" x14ac:dyDescent="0.3">
      <c r="A266" s="136" t="s">
        <v>497</v>
      </c>
      <c r="B266" s="36" t="s">
        <v>11</v>
      </c>
      <c r="C266" s="418">
        <v>82101</v>
      </c>
      <c r="D266" s="200" t="s">
        <v>214</v>
      </c>
      <c r="E266" s="41">
        <v>5</v>
      </c>
      <c r="F266" s="36" t="s">
        <v>569</v>
      </c>
      <c r="G266" s="20">
        <v>7.87</v>
      </c>
      <c r="H266" s="21">
        <v>10.31</v>
      </c>
      <c r="I266" s="134">
        <v>0.23880000000000001</v>
      </c>
      <c r="J266" s="493">
        <f>(G266+H266)*E266*1.2388</f>
        <v>112.60692</v>
      </c>
      <c r="K266" s="490"/>
    </row>
    <row r="267" spans="1:11" x14ac:dyDescent="0.3">
      <c r="A267" s="136" t="s">
        <v>498</v>
      </c>
      <c r="B267" s="36" t="s">
        <v>11</v>
      </c>
      <c r="C267" s="418">
        <v>82103</v>
      </c>
      <c r="D267" s="200" t="s">
        <v>215</v>
      </c>
      <c r="E267" s="41">
        <v>16</v>
      </c>
      <c r="F267" s="36" t="s">
        <v>569</v>
      </c>
      <c r="G267" s="20">
        <v>9.3000000000000007</v>
      </c>
      <c r="H267" s="21">
        <v>11.47</v>
      </c>
      <c r="I267" s="134">
        <v>0.23880000000000001</v>
      </c>
      <c r="J267" s="493">
        <f>(G267+H267)*E267*1.2388</f>
        <v>411.67801600000001</v>
      </c>
      <c r="K267" s="490"/>
    </row>
    <row r="268" spans="1:11" x14ac:dyDescent="0.3">
      <c r="A268" s="136" t="s">
        <v>499</v>
      </c>
      <c r="B268" s="36" t="s">
        <v>11</v>
      </c>
      <c r="C268" s="418">
        <v>82200</v>
      </c>
      <c r="D268" s="200" t="s">
        <v>216</v>
      </c>
      <c r="E268" s="41"/>
      <c r="F268" s="41"/>
      <c r="G268" s="20"/>
      <c r="H268" s="21"/>
      <c r="I268" s="134"/>
      <c r="J268" s="493"/>
      <c r="K268" s="490"/>
    </row>
    <row r="269" spans="1:11" x14ac:dyDescent="0.3">
      <c r="A269" s="136" t="s">
        <v>500</v>
      </c>
      <c r="B269" s="36" t="s">
        <v>11</v>
      </c>
      <c r="C269" s="36">
        <v>82230</v>
      </c>
      <c r="D269" s="196" t="s">
        <v>217</v>
      </c>
      <c r="E269" s="35">
        <f>25+96</f>
        <v>121</v>
      </c>
      <c r="F269" s="36" t="s">
        <v>569</v>
      </c>
      <c r="G269" s="280">
        <v>8.89</v>
      </c>
      <c r="H269" s="280">
        <v>8.31</v>
      </c>
      <c r="I269" s="134">
        <v>0.23880000000000001</v>
      </c>
      <c r="J269" s="493">
        <f>(G269+H269)*E269*1.2388</f>
        <v>2578.19056</v>
      </c>
      <c r="K269" s="490"/>
    </row>
    <row r="270" spans="1:11" x14ac:dyDescent="0.3">
      <c r="A270" s="136" t="s">
        <v>501</v>
      </c>
      <c r="B270" s="36" t="s">
        <v>11</v>
      </c>
      <c r="C270" s="46">
        <v>82231</v>
      </c>
      <c r="D270" s="202" t="s">
        <v>712</v>
      </c>
      <c r="E270" s="45">
        <v>10</v>
      </c>
      <c r="F270" s="36" t="s">
        <v>569</v>
      </c>
      <c r="G270" s="186">
        <v>17.440000000000001</v>
      </c>
      <c r="H270" s="186">
        <v>10.6</v>
      </c>
      <c r="I270" s="134">
        <v>0.23880000000000001</v>
      </c>
      <c r="J270" s="493">
        <f t="shared" ref="J270:J271" si="24">(G270+H270)*E270*1.2388</f>
        <v>347.35951999999992</v>
      </c>
      <c r="K270" s="490"/>
    </row>
    <row r="271" spans="1:11" x14ac:dyDescent="0.3">
      <c r="A271" s="136" t="s">
        <v>502</v>
      </c>
      <c r="B271" s="36" t="s">
        <v>11</v>
      </c>
      <c r="C271" s="418">
        <v>82233</v>
      </c>
      <c r="D271" s="200" t="s">
        <v>711</v>
      </c>
      <c r="E271" s="41">
        <f>10+1</f>
        <v>11</v>
      </c>
      <c r="F271" s="36" t="s">
        <v>569</v>
      </c>
      <c r="G271" s="20">
        <v>19.13</v>
      </c>
      <c r="H271" s="21">
        <v>13.19</v>
      </c>
      <c r="I271" s="134">
        <v>0.23880000000000001</v>
      </c>
      <c r="J271" s="493">
        <f t="shared" si="24"/>
        <v>440.41817599999996</v>
      </c>
      <c r="K271" s="490"/>
    </row>
    <row r="272" spans="1:11" x14ac:dyDescent="0.3">
      <c r="A272" s="136" t="s">
        <v>503</v>
      </c>
      <c r="B272" s="36" t="s">
        <v>11</v>
      </c>
      <c r="C272" s="418">
        <v>82300</v>
      </c>
      <c r="D272" s="200" t="s">
        <v>218</v>
      </c>
      <c r="E272" s="41"/>
      <c r="F272" s="42"/>
      <c r="G272" s="283"/>
      <c r="H272" s="283"/>
      <c r="I272" s="134"/>
      <c r="J272" s="493"/>
      <c r="K272" s="490"/>
    </row>
    <row r="273" spans="1:11" x14ac:dyDescent="0.3">
      <c r="A273" s="136" t="s">
        <v>504</v>
      </c>
      <c r="B273" s="36" t="s">
        <v>11</v>
      </c>
      <c r="C273" s="36">
        <v>82301</v>
      </c>
      <c r="D273" s="196" t="s">
        <v>219</v>
      </c>
      <c r="E273" s="35">
        <f>16.1</f>
        <v>16.100000000000001</v>
      </c>
      <c r="F273" s="36" t="s">
        <v>29</v>
      </c>
      <c r="G273" s="280">
        <v>6.68</v>
      </c>
      <c r="H273" s="280">
        <v>6.88</v>
      </c>
      <c r="I273" s="134">
        <v>0.23880000000000001</v>
      </c>
      <c r="J273" s="493">
        <f>(G273+H273)*E273*1.2388</f>
        <v>270.44986079999995</v>
      </c>
      <c r="K273" s="490"/>
    </row>
    <row r="274" spans="1:11" x14ac:dyDescent="0.3">
      <c r="A274" s="136" t="s">
        <v>505</v>
      </c>
      <c r="B274" s="36" t="s">
        <v>11</v>
      </c>
      <c r="C274" s="418">
        <v>82302</v>
      </c>
      <c r="D274" s="200" t="s">
        <v>220</v>
      </c>
      <c r="E274" s="41">
        <f>25.3+60.2+2.4+3.4+41.4+19.2+211.1</f>
        <v>363</v>
      </c>
      <c r="F274" s="42" t="s">
        <v>221</v>
      </c>
      <c r="G274" s="20">
        <v>7.28</v>
      </c>
      <c r="H274" s="21">
        <v>8.6</v>
      </c>
      <c r="I274" s="134">
        <v>0.23880000000000001</v>
      </c>
      <c r="J274" s="493">
        <f t="shared" ref="J274:J278" si="25">(G274+H274)*E274*1.2388</f>
        <v>7140.9882719999987</v>
      </c>
      <c r="K274" s="490"/>
    </row>
    <row r="275" spans="1:11" x14ac:dyDescent="0.3">
      <c r="A275" s="136" t="s">
        <v>845</v>
      </c>
      <c r="B275" s="36" t="s">
        <v>11</v>
      </c>
      <c r="C275" s="419">
        <v>82303</v>
      </c>
      <c r="D275" s="199" t="s">
        <v>222</v>
      </c>
      <c r="E275" s="44">
        <f>31.3+4.3</f>
        <v>35.6</v>
      </c>
      <c r="F275" s="42" t="s">
        <v>221</v>
      </c>
      <c r="G275" s="283">
        <v>11.42</v>
      </c>
      <c r="H275" s="22">
        <v>13.76</v>
      </c>
      <c r="I275" s="134">
        <v>0.23880000000000001</v>
      </c>
      <c r="J275" s="493">
        <f t="shared" si="25"/>
        <v>1110.4702304</v>
      </c>
      <c r="K275" s="490"/>
    </row>
    <row r="276" spans="1:11" x14ac:dyDescent="0.3">
      <c r="A276" s="136" t="s">
        <v>846</v>
      </c>
      <c r="B276" s="36" t="s">
        <v>11</v>
      </c>
      <c r="C276" s="419">
        <v>82304</v>
      </c>
      <c r="D276" s="199" t="s">
        <v>223</v>
      </c>
      <c r="E276" s="44">
        <f>76.6+10.3+6.1+106.3+5.8</f>
        <v>205.1</v>
      </c>
      <c r="F276" s="42" t="s">
        <v>221</v>
      </c>
      <c r="G276" s="283">
        <v>18.52</v>
      </c>
      <c r="H276" s="283">
        <v>14.9</v>
      </c>
      <c r="I276" s="134">
        <v>0.23880000000000001</v>
      </c>
      <c r="J276" s="493">
        <f t="shared" si="25"/>
        <v>8491.2827495999991</v>
      </c>
      <c r="K276" s="490"/>
    </row>
    <row r="277" spans="1:11" ht="62.4" x14ac:dyDescent="0.3">
      <c r="A277" s="136" t="s">
        <v>506</v>
      </c>
      <c r="B277" s="36" t="s">
        <v>61</v>
      </c>
      <c r="C277" s="36">
        <v>98052</v>
      </c>
      <c r="D277" s="199" t="s">
        <v>746</v>
      </c>
      <c r="E277" s="44">
        <v>1</v>
      </c>
      <c r="F277" s="36" t="s">
        <v>569</v>
      </c>
      <c r="G277" s="509">
        <v>1424.67</v>
      </c>
      <c r="H277" s="509"/>
      <c r="I277" s="134">
        <v>0.23880000000000001</v>
      </c>
      <c r="J277" s="493">
        <f t="shared" si="25"/>
        <v>1764.881196</v>
      </c>
      <c r="K277" s="490"/>
    </row>
    <row r="278" spans="1:11" ht="62.4" x14ac:dyDescent="0.3">
      <c r="A278" s="136" t="s">
        <v>531</v>
      </c>
      <c r="B278" s="36" t="s">
        <v>61</v>
      </c>
      <c r="C278" s="36">
        <v>98054</v>
      </c>
      <c r="D278" s="199" t="s">
        <v>743</v>
      </c>
      <c r="E278" s="44">
        <v>3</v>
      </c>
      <c r="F278" s="36" t="s">
        <v>569</v>
      </c>
      <c r="G278" s="509">
        <v>3132.32</v>
      </c>
      <c r="H278" s="509"/>
      <c r="I278" s="134">
        <v>0.23880000000000001</v>
      </c>
      <c r="J278" s="493">
        <f t="shared" si="25"/>
        <v>11640.954048</v>
      </c>
      <c r="K278" s="490"/>
    </row>
    <row r="279" spans="1:11" ht="62.4" x14ac:dyDescent="0.3">
      <c r="A279" s="136" t="s">
        <v>847</v>
      </c>
      <c r="B279" s="36" t="s">
        <v>61</v>
      </c>
      <c r="C279" s="36">
        <v>98056</v>
      </c>
      <c r="D279" s="199" t="s">
        <v>742</v>
      </c>
      <c r="E279" s="44">
        <v>1</v>
      </c>
      <c r="F279" s="36" t="s">
        <v>569</v>
      </c>
      <c r="G279" s="509">
        <v>4946.6499999999996</v>
      </c>
      <c r="H279" s="509"/>
      <c r="I279" s="134">
        <v>0.23880000000000001</v>
      </c>
      <c r="J279" s="493">
        <f t="shared" ref="J279:J284" si="26">(G279+H279)*E279*1.2388</f>
        <v>6127.9100199999993</v>
      </c>
      <c r="K279" s="490"/>
    </row>
    <row r="280" spans="1:11" ht="62.4" x14ac:dyDescent="0.3">
      <c r="A280" s="136" t="s">
        <v>532</v>
      </c>
      <c r="B280" s="36" t="s">
        <v>61</v>
      </c>
      <c r="C280" s="36">
        <v>98053</v>
      </c>
      <c r="D280" s="199" t="s">
        <v>744</v>
      </c>
      <c r="E280" s="44">
        <v>1</v>
      </c>
      <c r="F280" s="36" t="s">
        <v>569</v>
      </c>
      <c r="G280" s="509">
        <v>1953.48</v>
      </c>
      <c r="H280" s="509"/>
      <c r="I280" s="134">
        <v>0.23880000000000001</v>
      </c>
      <c r="J280" s="493">
        <f t="shared" si="26"/>
        <v>2419.9710239999999</v>
      </c>
      <c r="K280" s="490"/>
    </row>
    <row r="281" spans="1:11" ht="62.4" x14ac:dyDescent="0.3">
      <c r="A281" s="136" t="s">
        <v>1138</v>
      </c>
      <c r="B281" s="36" t="s">
        <v>61</v>
      </c>
      <c r="C281" s="36">
        <v>98055</v>
      </c>
      <c r="D281" s="199" t="s">
        <v>745</v>
      </c>
      <c r="E281" s="44">
        <v>1</v>
      </c>
      <c r="F281" s="36" t="s">
        <v>569</v>
      </c>
      <c r="G281" s="509">
        <v>4273.24</v>
      </c>
      <c r="H281" s="509"/>
      <c r="I281" s="134">
        <v>0.23880000000000001</v>
      </c>
      <c r="J281" s="493">
        <f t="shared" si="26"/>
        <v>5293.6897119999994</v>
      </c>
      <c r="K281" s="490"/>
    </row>
    <row r="282" spans="1:11" ht="62.4" x14ac:dyDescent="0.3">
      <c r="A282" s="136" t="s">
        <v>1145</v>
      </c>
      <c r="B282" s="36" t="s">
        <v>61</v>
      </c>
      <c r="C282" s="36">
        <v>98063</v>
      </c>
      <c r="D282" s="199" t="s">
        <v>741</v>
      </c>
      <c r="E282" s="44">
        <v>3</v>
      </c>
      <c r="F282" s="36" t="s">
        <v>569</v>
      </c>
      <c r="G282" s="509">
        <v>3247.02</v>
      </c>
      <c r="H282" s="509"/>
      <c r="I282" s="134">
        <v>0.23880000000000001</v>
      </c>
      <c r="J282" s="493">
        <f t="shared" si="26"/>
        <v>12067.225127999998</v>
      </c>
      <c r="K282" s="490"/>
    </row>
    <row r="283" spans="1:11" ht="62.4" x14ac:dyDescent="0.3">
      <c r="A283" s="136" t="s">
        <v>1146</v>
      </c>
      <c r="B283" s="36" t="s">
        <v>61</v>
      </c>
      <c r="C283" s="36">
        <v>98064</v>
      </c>
      <c r="D283" s="199" t="s">
        <v>747</v>
      </c>
      <c r="E283" s="44">
        <v>2</v>
      </c>
      <c r="F283" s="36" t="s">
        <v>569</v>
      </c>
      <c r="G283" s="509">
        <v>3716</v>
      </c>
      <c r="H283" s="509"/>
      <c r="I283" s="134">
        <v>0.23880000000000001</v>
      </c>
      <c r="J283" s="493">
        <f t="shared" si="26"/>
        <v>9206.7615999999998</v>
      </c>
      <c r="K283" s="490"/>
    </row>
    <row r="284" spans="1:11" ht="62.4" x14ac:dyDescent="0.3">
      <c r="A284" s="136" t="s">
        <v>1147</v>
      </c>
      <c r="B284" s="36" t="s">
        <v>61</v>
      </c>
      <c r="C284" s="36">
        <v>98065</v>
      </c>
      <c r="D284" s="199" t="s">
        <v>748</v>
      </c>
      <c r="E284" s="44">
        <v>1</v>
      </c>
      <c r="F284" s="36" t="s">
        <v>569</v>
      </c>
      <c r="G284" s="509">
        <v>5150.12</v>
      </c>
      <c r="H284" s="509"/>
      <c r="I284" s="134">
        <v>0.23880000000000001</v>
      </c>
      <c r="J284" s="493">
        <f t="shared" si="26"/>
        <v>6379.9686559999991</v>
      </c>
      <c r="K284" s="490"/>
    </row>
    <row r="285" spans="1:11" ht="16.2" thickBot="1" x14ac:dyDescent="0.35">
      <c r="A285" s="136" t="s">
        <v>1148</v>
      </c>
      <c r="B285" s="36" t="s">
        <v>11</v>
      </c>
      <c r="C285" s="416">
        <v>81874</v>
      </c>
      <c r="D285" s="203" t="s">
        <v>749</v>
      </c>
      <c r="E285" s="35">
        <v>1</v>
      </c>
      <c r="F285" s="36" t="s">
        <v>569</v>
      </c>
      <c r="G285" s="281">
        <v>977.72</v>
      </c>
      <c r="H285" s="281">
        <v>1732.69</v>
      </c>
      <c r="I285" s="134">
        <v>0.23880000000000001</v>
      </c>
      <c r="J285" s="493">
        <f t="shared" ref="J285" si="27">(G285+H285)*E285*1.2388</f>
        <v>3357.6559079999997</v>
      </c>
      <c r="K285" s="490"/>
    </row>
    <row r="286" spans="1:11" ht="16.2" thickBot="1" x14ac:dyDescent="0.35">
      <c r="A286" s="505" t="s">
        <v>8</v>
      </c>
      <c r="B286" s="506"/>
      <c r="C286" s="506"/>
      <c r="D286" s="506"/>
      <c r="E286" s="506"/>
      <c r="F286" s="506"/>
      <c r="G286" s="506"/>
      <c r="H286" s="506"/>
      <c r="I286" s="506"/>
      <c r="J286" s="507"/>
      <c r="K286" s="40">
        <f>SUM(J142:K285)</f>
        <v>239701.74692588794</v>
      </c>
    </row>
    <row r="287" spans="1:11" ht="16.2" thickBot="1" x14ac:dyDescent="0.35">
      <c r="A287" s="495" t="s">
        <v>310</v>
      </c>
      <c r="B287" s="496"/>
      <c r="C287" s="496"/>
      <c r="D287" s="496"/>
      <c r="E287" s="496"/>
      <c r="F287" s="496"/>
      <c r="G287" s="496"/>
      <c r="H287" s="496"/>
      <c r="I287" s="496"/>
      <c r="J287" s="496"/>
      <c r="K287" s="497"/>
    </row>
    <row r="288" spans="1:11" x14ac:dyDescent="0.3">
      <c r="A288" s="135">
        <v>8</v>
      </c>
      <c r="B288" s="140" t="s">
        <v>11</v>
      </c>
      <c r="C288" s="140">
        <v>90000</v>
      </c>
      <c r="D288" s="508" t="s">
        <v>311</v>
      </c>
      <c r="E288" s="499"/>
      <c r="F288" s="499"/>
      <c r="G288" s="499"/>
      <c r="H288" s="499"/>
      <c r="I288" s="499"/>
      <c r="J288" s="499"/>
      <c r="K288" s="500"/>
    </row>
    <row r="289" spans="1:11" ht="16.2" thickBot="1" x14ac:dyDescent="0.35">
      <c r="A289" s="136" t="s">
        <v>313</v>
      </c>
      <c r="B289" s="36" t="s">
        <v>11</v>
      </c>
      <c r="C289" s="36">
        <v>91007</v>
      </c>
      <c r="D289" s="196" t="s">
        <v>486</v>
      </c>
      <c r="E289" s="35">
        <v>2</v>
      </c>
      <c r="F289" s="36" t="s">
        <v>569</v>
      </c>
      <c r="G289" s="281">
        <v>5232.1499999999996</v>
      </c>
      <c r="H289" s="281">
        <v>2191.9299999999998</v>
      </c>
      <c r="I289" s="134">
        <v>0.23880000000000001</v>
      </c>
      <c r="J289" s="493">
        <f>(G289+H289)*E289*1.2388</f>
        <v>18393.900608</v>
      </c>
      <c r="K289" s="490"/>
    </row>
    <row r="290" spans="1:11" ht="16.2" thickBot="1" x14ac:dyDescent="0.35">
      <c r="A290" s="505" t="s">
        <v>8</v>
      </c>
      <c r="B290" s="506"/>
      <c r="C290" s="506"/>
      <c r="D290" s="506"/>
      <c r="E290" s="506"/>
      <c r="F290" s="506"/>
      <c r="G290" s="506"/>
      <c r="H290" s="506"/>
      <c r="I290" s="506"/>
      <c r="J290" s="507"/>
      <c r="K290" s="40">
        <f>SUM(J289:K289)</f>
        <v>18393.900608</v>
      </c>
    </row>
    <row r="291" spans="1:11" ht="16.2" thickBot="1" x14ac:dyDescent="0.35">
      <c r="A291" s="495" t="s">
        <v>32</v>
      </c>
      <c r="B291" s="496"/>
      <c r="C291" s="496"/>
      <c r="D291" s="496"/>
      <c r="E291" s="496"/>
      <c r="F291" s="496"/>
      <c r="G291" s="496"/>
      <c r="H291" s="496"/>
      <c r="I291" s="496"/>
      <c r="J291" s="496"/>
      <c r="K291" s="497"/>
    </row>
    <row r="292" spans="1:11" x14ac:dyDescent="0.3">
      <c r="A292" s="135">
        <v>9</v>
      </c>
      <c r="B292" s="140" t="s">
        <v>11</v>
      </c>
      <c r="C292" s="140">
        <v>100000</v>
      </c>
      <c r="D292" s="508" t="s">
        <v>33</v>
      </c>
      <c r="E292" s="499"/>
      <c r="F292" s="499"/>
      <c r="G292" s="499"/>
      <c r="H292" s="499"/>
      <c r="I292" s="499"/>
      <c r="J292" s="499"/>
      <c r="K292" s="500"/>
    </row>
    <row r="293" spans="1:11" ht="31.2" x14ac:dyDescent="0.3">
      <c r="A293" s="177" t="s">
        <v>314</v>
      </c>
      <c r="B293" s="178" t="s">
        <v>11</v>
      </c>
      <c r="C293" s="36">
        <v>100155</v>
      </c>
      <c r="D293" s="196" t="s">
        <v>312</v>
      </c>
      <c r="E293" s="179">
        <f>'MEMÓRIA DE CÁLCULO'!J443</f>
        <v>15352.722499999998</v>
      </c>
      <c r="F293" s="178" t="s">
        <v>15</v>
      </c>
      <c r="G293" s="282">
        <v>39.479999999999997</v>
      </c>
      <c r="H293" s="282">
        <v>25.47</v>
      </c>
      <c r="I293" s="180">
        <v>0.23880000000000001</v>
      </c>
      <c r="J293" s="503">
        <f>(G293+H293)*E293*1.2388</f>
        <v>1235280.9735133497</v>
      </c>
      <c r="K293" s="504"/>
    </row>
    <row r="294" spans="1:11" ht="16.2" thickBot="1" x14ac:dyDescent="0.35">
      <c r="A294" s="177" t="s">
        <v>315</v>
      </c>
      <c r="B294" s="178" t="s">
        <v>11</v>
      </c>
      <c r="C294" s="36">
        <v>100303</v>
      </c>
      <c r="D294" s="475" t="s">
        <v>619</v>
      </c>
      <c r="E294" s="179">
        <f>'MEMÓRIA DE CÁLCULO'!J455</f>
        <v>25.47</v>
      </c>
      <c r="F294" s="178" t="s">
        <v>15</v>
      </c>
      <c r="G294" s="282">
        <v>293.60000000000002</v>
      </c>
      <c r="H294" s="282">
        <v>47.14</v>
      </c>
      <c r="I294" s="180">
        <v>0.23880000000000001</v>
      </c>
      <c r="J294" s="503">
        <f>(G294+H294)*E294*1.2388</f>
        <v>10751.10889464</v>
      </c>
      <c r="K294" s="504"/>
    </row>
    <row r="295" spans="1:11" ht="16.2" thickBot="1" x14ac:dyDescent="0.35">
      <c r="A295" s="505" t="s">
        <v>8</v>
      </c>
      <c r="B295" s="506"/>
      <c r="C295" s="506"/>
      <c r="D295" s="506"/>
      <c r="E295" s="506"/>
      <c r="F295" s="506"/>
      <c r="G295" s="506"/>
      <c r="H295" s="506"/>
      <c r="I295" s="506"/>
      <c r="J295" s="507"/>
      <c r="K295" s="40">
        <f>SUM(J293:K294)</f>
        <v>1246032.0824079898</v>
      </c>
    </row>
    <row r="296" spans="1:11" ht="16.2" thickBot="1" x14ac:dyDescent="0.35">
      <c r="A296" s="495" t="s">
        <v>34</v>
      </c>
      <c r="B296" s="496"/>
      <c r="C296" s="496"/>
      <c r="D296" s="496"/>
      <c r="E296" s="496"/>
      <c r="F296" s="496"/>
      <c r="G296" s="496"/>
      <c r="H296" s="496"/>
      <c r="I296" s="496"/>
      <c r="J296" s="496"/>
      <c r="K296" s="497"/>
    </row>
    <row r="297" spans="1:11" x14ac:dyDescent="0.3">
      <c r="A297" s="135">
        <v>10</v>
      </c>
      <c r="B297" s="140" t="s">
        <v>11</v>
      </c>
      <c r="C297" s="140">
        <v>120000</v>
      </c>
      <c r="D297" s="508" t="s">
        <v>35</v>
      </c>
      <c r="E297" s="499"/>
      <c r="F297" s="499"/>
      <c r="G297" s="499"/>
      <c r="H297" s="499"/>
      <c r="I297" s="499"/>
      <c r="J297" s="499"/>
      <c r="K297" s="500"/>
    </row>
    <row r="298" spans="1:11" x14ac:dyDescent="0.3">
      <c r="A298" s="136" t="s">
        <v>350</v>
      </c>
      <c r="B298" s="36" t="s">
        <v>11</v>
      </c>
      <c r="C298" s="36">
        <v>120902</v>
      </c>
      <c r="D298" s="196" t="s">
        <v>348</v>
      </c>
      <c r="E298" s="35">
        <f>'MEMÓRIA DE CÁLCULO'!J461</f>
        <v>681.27440000000001</v>
      </c>
      <c r="F298" s="36" t="s">
        <v>15</v>
      </c>
      <c r="G298" s="281">
        <v>12.28</v>
      </c>
      <c r="H298" s="281">
        <v>17.559999999999999</v>
      </c>
      <c r="I298" s="134">
        <v>0.23880000000000001</v>
      </c>
      <c r="J298" s="493">
        <f>(G298+H298)*E298*1.2388</f>
        <v>25183.847765324797</v>
      </c>
      <c r="K298" s="490"/>
    </row>
    <row r="299" spans="1:11" ht="31.2" x14ac:dyDescent="0.3">
      <c r="A299" s="136" t="s">
        <v>351</v>
      </c>
      <c r="B299" s="178" t="s">
        <v>11</v>
      </c>
      <c r="C299" s="144">
        <v>121001</v>
      </c>
      <c r="D299" s="196" t="s">
        <v>349</v>
      </c>
      <c r="E299" s="179">
        <f>'MEMÓRIA DE CÁLCULO'!J476</f>
        <v>303.91000000000003</v>
      </c>
      <c r="F299" s="178" t="s">
        <v>15</v>
      </c>
      <c r="G299" s="282">
        <v>12.65</v>
      </c>
      <c r="H299" s="282">
        <v>2.08</v>
      </c>
      <c r="I299" s="134">
        <v>0.23880000000000001</v>
      </c>
      <c r="J299" s="493">
        <f t="shared" ref="J299:J300" si="28">(G299+H299)*E299*1.2388</f>
        <v>5545.6050188400004</v>
      </c>
      <c r="K299" s="490"/>
    </row>
    <row r="300" spans="1:11" ht="31.8" thickBot="1" x14ac:dyDescent="0.35">
      <c r="A300" s="136" t="s">
        <v>352</v>
      </c>
      <c r="B300" s="39" t="s">
        <v>11</v>
      </c>
      <c r="C300" s="417">
        <v>121101</v>
      </c>
      <c r="D300" s="197" t="s">
        <v>566</v>
      </c>
      <c r="E300" s="38">
        <f>'MEMÓRIA DE CÁLCULO'!J478</f>
        <v>203.54400000000001</v>
      </c>
      <c r="F300" s="39" t="s">
        <v>14</v>
      </c>
      <c r="G300" s="30">
        <v>12.65</v>
      </c>
      <c r="H300" s="30">
        <v>2.13</v>
      </c>
      <c r="I300" s="134">
        <v>0.23880000000000001</v>
      </c>
      <c r="J300" s="522">
        <f t="shared" si="28"/>
        <v>3726.7815404160001</v>
      </c>
      <c r="K300" s="523"/>
    </row>
    <row r="301" spans="1:11" ht="16.2" thickBot="1" x14ac:dyDescent="0.35">
      <c r="A301" s="505" t="s">
        <v>8</v>
      </c>
      <c r="B301" s="506"/>
      <c r="C301" s="506"/>
      <c r="D301" s="506"/>
      <c r="E301" s="506"/>
      <c r="F301" s="506"/>
      <c r="G301" s="506"/>
      <c r="H301" s="506"/>
      <c r="I301" s="506"/>
      <c r="J301" s="507"/>
      <c r="K301" s="40">
        <f>SUM(J298:K300)</f>
        <v>34456.234324580801</v>
      </c>
    </row>
    <row r="302" spans="1:11" ht="16.2" thickBot="1" x14ac:dyDescent="0.35">
      <c r="A302" s="495" t="s">
        <v>36</v>
      </c>
      <c r="B302" s="496"/>
      <c r="C302" s="496"/>
      <c r="D302" s="496"/>
      <c r="E302" s="496"/>
      <c r="F302" s="496"/>
      <c r="G302" s="496"/>
      <c r="H302" s="496"/>
      <c r="I302" s="496"/>
      <c r="J302" s="496"/>
      <c r="K302" s="497"/>
    </row>
    <row r="303" spans="1:11" x14ac:dyDescent="0.3">
      <c r="A303" s="135">
        <v>11</v>
      </c>
      <c r="B303" s="140" t="s">
        <v>11</v>
      </c>
      <c r="C303" s="140">
        <v>140000</v>
      </c>
      <c r="D303" s="508" t="s">
        <v>37</v>
      </c>
      <c r="E303" s="499"/>
      <c r="F303" s="499"/>
      <c r="G303" s="499"/>
      <c r="H303" s="499"/>
      <c r="I303" s="499"/>
      <c r="J303" s="499"/>
      <c r="K303" s="500"/>
    </row>
    <row r="304" spans="1:11" ht="16.2" thickBot="1" x14ac:dyDescent="0.35">
      <c r="A304" s="193" t="s">
        <v>358</v>
      </c>
      <c r="B304" s="181" t="s">
        <v>11</v>
      </c>
      <c r="C304" s="181">
        <v>140201</v>
      </c>
      <c r="D304" s="197" t="s">
        <v>357</v>
      </c>
      <c r="E304" s="182">
        <f>'MEMÓRIA DE CÁLCULO'!J484</f>
        <v>80.34</v>
      </c>
      <c r="F304" s="181" t="s">
        <v>15</v>
      </c>
      <c r="G304" s="183">
        <v>66.8</v>
      </c>
      <c r="H304" s="183">
        <v>28.66</v>
      </c>
      <c r="I304" s="180">
        <v>0.23880000000000001</v>
      </c>
      <c r="J304" s="503">
        <f>(G304+H304)*E304*1.2388</f>
        <v>9500.6748283199995</v>
      </c>
      <c r="K304" s="504"/>
    </row>
    <row r="305" spans="1:11" ht="16.2" thickBot="1" x14ac:dyDescent="0.35">
      <c r="A305" s="505" t="s">
        <v>8</v>
      </c>
      <c r="B305" s="506"/>
      <c r="C305" s="506"/>
      <c r="D305" s="506"/>
      <c r="E305" s="506"/>
      <c r="F305" s="506"/>
      <c r="G305" s="506"/>
      <c r="H305" s="506"/>
      <c r="I305" s="506"/>
      <c r="J305" s="507"/>
      <c r="K305" s="40">
        <f>J304</f>
        <v>9500.6748283199995</v>
      </c>
    </row>
    <row r="306" spans="1:11" ht="16.2" thickBot="1" x14ac:dyDescent="0.35">
      <c r="A306" s="495" t="s">
        <v>38</v>
      </c>
      <c r="B306" s="496"/>
      <c r="C306" s="496"/>
      <c r="D306" s="496"/>
      <c r="E306" s="496"/>
      <c r="F306" s="496"/>
      <c r="G306" s="496"/>
      <c r="H306" s="496"/>
      <c r="I306" s="496"/>
      <c r="J306" s="496"/>
      <c r="K306" s="497"/>
    </row>
    <row r="307" spans="1:11" x14ac:dyDescent="0.3">
      <c r="A307" s="135">
        <v>12</v>
      </c>
      <c r="B307" s="140" t="s">
        <v>11</v>
      </c>
      <c r="C307" s="140">
        <v>150000</v>
      </c>
      <c r="D307" s="508" t="s">
        <v>39</v>
      </c>
      <c r="E307" s="499"/>
      <c r="F307" s="499"/>
      <c r="G307" s="499"/>
      <c r="H307" s="499"/>
      <c r="I307" s="499"/>
      <c r="J307" s="499"/>
      <c r="K307" s="500"/>
    </row>
    <row r="308" spans="1:11" ht="31.2" x14ac:dyDescent="0.3">
      <c r="A308" s="138" t="s">
        <v>371</v>
      </c>
      <c r="B308" s="36" t="s">
        <v>11</v>
      </c>
      <c r="C308" s="46">
        <v>150103</v>
      </c>
      <c r="D308" s="204" t="s">
        <v>701</v>
      </c>
      <c r="E308" s="36">
        <f>20705.65</f>
        <v>20705.650000000001</v>
      </c>
      <c r="F308" s="36" t="s">
        <v>84</v>
      </c>
      <c r="G308" s="281">
        <v>23.61</v>
      </c>
      <c r="H308" s="281">
        <v>0</v>
      </c>
      <c r="I308" s="159">
        <v>0.23880000000000001</v>
      </c>
      <c r="J308" s="518">
        <f>(G308+H308)*E308*1.2388</f>
        <v>605600.25918419997</v>
      </c>
      <c r="K308" s="519"/>
    </row>
    <row r="309" spans="1:11" ht="31.2" x14ac:dyDescent="0.3">
      <c r="A309" s="138" t="s">
        <v>534</v>
      </c>
      <c r="B309" s="36" t="s">
        <v>11</v>
      </c>
      <c r="C309" s="36">
        <v>150204</v>
      </c>
      <c r="D309" s="205" t="s">
        <v>360</v>
      </c>
      <c r="E309" s="35">
        <f>'MEMÓRIA DE CÁLCULO'!J493</f>
        <v>21799.68</v>
      </c>
      <c r="F309" s="36" t="s">
        <v>84</v>
      </c>
      <c r="G309" s="281">
        <v>22.43</v>
      </c>
      <c r="H309" s="281">
        <v>0</v>
      </c>
      <c r="I309" s="159">
        <v>0.23880000000000001</v>
      </c>
      <c r="J309" s="518">
        <f t="shared" ref="J309:J311" si="29">(G309+H309)*E309*1.2388</f>
        <v>605732.09958912001</v>
      </c>
      <c r="K309" s="519"/>
    </row>
    <row r="310" spans="1:11" ht="46.8" x14ac:dyDescent="0.3">
      <c r="A310" s="138" t="s">
        <v>535</v>
      </c>
      <c r="B310" s="36" t="s">
        <v>61</v>
      </c>
      <c r="C310" s="36">
        <v>92580</v>
      </c>
      <c r="D310" s="196" t="s">
        <v>533</v>
      </c>
      <c r="E310" s="35">
        <f>'MEMÓRIA DE CÁLCULO'!J497</f>
        <v>1885.3000000000002</v>
      </c>
      <c r="F310" s="36" t="s">
        <v>330</v>
      </c>
      <c r="G310" s="494">
        <v>56.88</v>
      </c>
      <c r="H310" s="494"/>
      <c r="I310" s="159">
        <v>0.23880000000000001</v>
      </c>
      <c r="J310" s="518">
        <f t="shared" si="29"/>
        <v>132843.78832320002</v>
      </c>
      <c r="K310" s="519"/>
    </row>
    <row r="311" spans="1:11" ht="31.8" thickBot="1" x14ac:dyDescent="0.35">
      <c r="A311" s="138" t="s">
        <v>559</v>
      </c>
      <c r="B311" s="516" t="s">
        <v>856</v>
      </c>
      <c r="C311" s="517"/>
      <c r="D311" s="197" t="s">
        <v>702</v>
      </c>
      <c r="E311" s="38">
        <f>'MEMÓRIA DE CÁLCULO'!J501</f>
        <v>36</v>
      </c>
      <c r="F311" s="39" t="s">
        <v>569</v>
      </c>
      <c r="G311" s="487">
        <f>COMPOSIÇÃO!F19</f>
        <v>2604.5494777499998</v>
      </c>
      <c r="H311" s="488"/>
      <c r="I311" s="159">
        <v>0.23880000000000001</v>
      </c>
      <c r="J311" s="518">
        <f t="shared" si="29"/>
        <v>116154.57214932117</v>
      </c>
      <c r="K311" s="519"/>
    </row>
    <row r="312" spans="1:11" ht="16.2" thickBot="1" x14ac:dyDescent="0.35">
      <c r="A312" s="505" t="s">
        <v>8</v>
      </c>
      <c r="B312" s="506"/>
      <c r="C312" s="506"/>
      <c r="D312" s="506"/>
      <c r="E312" s="506"/>
      <c r="F312" s="506"/>
      <c r="G312" s="506"/>
      <c r="H312" s="506"/>
      <c r="I312" s="506"/>
      <c r="J312" s="507"/>
      <c r="K312" s="40">
        <f>SUM(J308:K311)</f>
        <v>1460330.7192458413</v>
      </c>
    </row>
    <row r="313" spans="1:11" ht="16.2" thickBot="1" x14ac:dyDescent="0.35">
      <c r="A313" s="495" t="s">
        <v>40</v>
      </c>
      <c r="B313" s="524"/>
      <c r="C313" s="524"/>
      <c r="D313" s="524"/>
      <c r="E313" s="524"/>
      <c r="F313" s="524"/>
      <c r="G313" s="524"/>
      <c r="H313" s="524"/>
      <c r="I313" s="524"/>
      <c r="J313" s="524"/>
      <c r="K313" s="525"/>
    </row>
    <row r="314" spans="1:11" x14ac:dyDescent="0.3">
      <c r="A314" s="135">
        <v>13</v>
      </c>
      <c r="B314" s="141" t="s">
        <v>11</v>
      </c>
      <c r="C314" s="141">
        <v>160000</v>
      </c>
      <c r="D314" s="520" t="s">
        <v>41</v>
      </c>
      <c r="E314" s="520"/>
      <c r="F314" s="520"/>
      <c r="G314" s="520"/>
      <c r="H314" s="520"/>
      <c r="I314" s="520"/>
      <c r="J314" s="520"/>
      <c r="K314" s="521"/>
    </row>
    <row r="315" spans="1:11" x14ac:dyDescent="0.3">
      <c r="A315" s="136" t="s">
        <v>859</v>
      </c>
      <c r="B315" s="36" t="s">
        <v>11</v>
      </c>
      <c r="C315" s="36">
        <v>160600</v>
      </c>
      <c r="D315" s="196" t="s">
        <v>361</v>
      </c>
      <c r="E315" s="35">
        <f>'MEMÓRIA DE CÁLCULO'!J506</f>
        <v>207.22500000000002</v>
      </c>
      <c r="F315" s="36" t="s">
        <v>15</v>
      </c>
      <c r="G315" s="281">
        <v>49.72</v>
      </c>
      <c r="H315" s="281">
        <v>51.11</v>
      </c>
      <c r="I315" s="134">
        <v>0.23880000000000001</v>
      </c>
      <c r="J315" s="493">
        <f>(G315+H315)*E315*1.2388</f>
        <v>25884.1025739</v>
      </c>
      <c r="K315" s="490"/>
    </row>
    <row r="316" spans="1:11" x14ac:dyDescent="0.3">
      <c r="A316" s="136" t="s">
        <v>860</v>
      </c>
      <c r="B316" s="36" t="s">
        <v>11</v>
      </c>
      <c r="C316" s="36">
        <v>160601</v>
      </c>
      <c r="D316" s="196" t="s">
        <v>362</v>
      </c>
      <c r="E316" s="35">
        <f>'MEMÓRIA DE CÁLCULO'!J509</f>
        <v>18.700000000000003</v>
      </c>
      <c r="F316" s="36" t="s">
        <v>64</v>
      </c>
      <c r="G316" s="281">
        <v>29.83</v>
      </c>
      <c r="H316" s="281">
        <v>30.67</v>
      </c>
      <c r="I316" s="134">
        <v>0.23880000000000001</v>
      </c>
      <c r="J316" s="493">
        <f t="shared" ref="J316:J320" si="30">(G316+H316)*E316*1.2388</f>
        <v>1401.51638</v>
      </c>
      <c r="K316" s="490"/>
    </row>
    <row r="317" spans="1:11" x14ac:dyDescent="0.3">
      <c r="A317" s="136" t="s">
        <v>367</v>
      </c>
      <c r="B317" s="36" t="s">
        <v>11</v>
      </c>
      <c r="C317" s="36">
        <v>160602</v>
      </c>
      <c r="D317" s="196" t="s">
        <v>363</v>
      </c>
      <c r="E317" s="35">
        <f>'MEMÓRIA DE CÁLCULO'!J512</f>
        <v>36.22</v>
      </c>
      <c r="F317" s="36" t="s">
        <v>29</v>
      </c>
      <c r="G317" s="281">
        <v>22.15</v>
      </c>
      <c r="H317" s="281">
        <v>14.33</v>
      </c>
      <c r="I317" s="134">
        <v>0.23880000000000001</v>
      </c>
      <c r="J317" s="493">
        <f t="shared" si="30"/>
        <v>1636.8333772799997</v>
      </c>
      <c r="K317" s="490"/>
    </row>
    <row r="318" spans="1:11" x14ac:dyDescent="0.3">
      <c r="A318" s="136" t="s">
        <v>368</v>
      </c>
      <c r="B318" s="36" t="s">
        <v>11</v>
      </c>
      <c r="C318" s="36">
        <v>160964</v>
      </c>
      <c r="D318" s="196" t="s">
        <v>364</v>
      </c>
      <c r="E318" s="35">
        <f>'MEMÓRIA DE CÁLCULO'!J517</f>
        <v>146.55000000000001</v>
      </c>
      <c r="F318" s="36" t="s">
        <v>221</v>
      </c>
      <c r="G318" s="281">
        <v>38.26</v>
      </c>
      <c r="H318" s="281">
        <v>2.29</v>
      </c>
      <c r="I318" s="134">
        <v>0.23880000000000001</v>
      </c>
      <c r="J318" s="493">
        <f t="shared" si="30"/>
        <v>7361.6959769999994</v>
      </c>
      <c r="K318" s="490"/>
    </row>
    <row r="319" spans="1:11" ht="31.2" x14ac:dyDescent="0.3">
      <c r="A319" s="136" t="s">
        <v>369</v>
      </c>
      <c r="B319" s="36" t="s">
        <v>11</v>
      </c>
      <c r="C319" s="36">
        <v>160967</v>
      </c>
      <c r="D319" s="196" t="s">
        <v>733</v>
      </c>
      <c r="E319" s="35">
        <f>'MEMÓRIA DE CÁLCULO'!J522</f>
        <v>4454.2999999999993</v>
      </c>
      <c r="F319" s="36" t="s">
        <v>15</v>
      </c>
      <c r="G319" s="281">
        <v>69.8</v>
      </c>
      <c r="H319" s="281">
        <v>4.59</v>
      </c>
      <c r="I319" s="134">
        <v>0.23880000000000001</v>
      </c>
      <c r="J319" s="493">
        <f t="shared" si="30"/>
        <v>410483.04102759989</v>
      </c>
      <c r="K319" s="490"/>
    </row>
    <row r="320" spans="1:11" ht="31.2" x14ac:dyDescent="0.3">
      <c r="A320" s="136" t="s">
        <v>861</v>
      </c>
      <c r="B320" s="36" t="s">
        <v>11</v>
      </c>
      <c r="C320" s="239">
        <v>160970</v>
      </c>
      <c r="D320" s="196" t="s">
        <v>365</v>
      </c>
      <c r="E320" s="35">
        <f>'MEMÓRIA DE CÁLCULO'!J527</f>
        <v>695.28</v>
      </c>
      <c r="F320" s="239" t="s">
        <v>366</v>
      </c>
      <c r="G320" s="281">
        <v>52.45</v>
      </c>
      <c r="H320" s="281">
        <v>10.029999999999999</v>
      </c>
      <c r="I320" s="134">
        <v>0.23880000000000001</v>
      </c>
      <c r="J320" s="493">
        <f t="shared" si="30"/>
        <v>53814.827742720001</v>
      </c>
      <c r="K320" s="490"/>
    </row>
    <row r="321" spans="1:11" ht="31.8" thickBot="1" x14ac:dyDescent="0.35">
      <c r="A321" s="137" t="s">
        <v>370</v>
      </c>
      <c r="B321" s="39" t="s">
        <v>11</v>
      </c>
      <c r="C321" s="268">
        <v>160501</v>
      </c>
      <c r="D321" s="197" t="s">
        <v>858</v>
      </c>
      <c r="E321" s="38">
        <f>'MEMÓRIA DE CÁLCULO'!J530</f>
        <v>80.34</v>
      </c>
      <c r="F321" s="268" t="s">
        <v>366</v>
      </c>
      <c r="G321" s="30">
        <v>33.54</v>
      </c>
      <c r="H321" s="30">
        <v>6.31</v>
      </c>
      <c r="I321" s="307">
        <v>0.23880000000000001</v>
      </c>
      <c r="J321" s="555">
        <f t="shared" ref="J321" si="31">(G321+H321)*E321*1.2388</f>
        <v>3966.0789012</v>
      </c>
      <c r="K321" s="556"/>
    </row>
    <row r="322" spans="1:11" ht="16.2" thickBot="1" x14ac:dyDescent="0.35">
      <c r="A322" s="505" t="s">
        <v>8</v>
      </c>
      <c r="B322" s="506"/>
      <c r="C322" s="506"/>
      <c r="D322" s="506"/>
      <c r="E322" s="506"/>
      <c r="F322" s="506"/>
      <c r="G322" s="506"/>
      <c r="H322" s="506"/>
      <c r="I322" s="506"/>
      <c r="J322" s="507"/>
      <c r="K322" s="40">
        <f>SUM(J315:K321)</f>
        <v>504548.09597969986</v>
      </c>
    </row>
    <row r="323" spans="1:11" ht="16.2" thickBot="1" x14ac:dyDescent="0.35">
      <c r="A323" s="495" t="s">
        <v>42</v>
      </c>
      <c r="B323" s="496"/>
      <c r="C323" s="496"/>
      <c r="D323" s="496"/>
      <c r="E323" s="496"/>
      <c r="F323" s="496"/>
      <c r="G323" s="496"/>
      <c r="H323" s="496"/>
      <c r="I323" s="496"/>
      <c r="J323" s="496"/>
      <c r="K323" s="497"/>
    </row>
    <row r="324" spans="1:11" x14ac:dyDescent="0.3">
      <c r="A324" s="135">
        <v>14</v>
      </c>
      <c r="B324" s="140" t="s">
        <v>11</v>
      </c>
      <c r="C324" s="140">
        <v>170000</v>
      </c>
      <c r="D324" s="508" t="s">
        <v>43</v>
      </c>
      <c r="E324" s="499"/>
      <c r="F324" s="499"/>
      <c r="G324" s="499"/>
      <c r="H324" s="499"/>
      <c r="I324" s="499"/>
      <c r="J324" s="499"/>
      <c r="K324" s="500"/>
    </row>
    <row r="325" spans="1:11" x14ac:dyDescent="0.3">
      <c r="A325" s="136" t="s">
        <v>395</v>
      </c>
      <c r="B325" s="36" t="s">
        <v>11</v>
      </c>
      <c r="C325" s="36">
        <v>170103</v>
      </c>
      <c r="D325" s="196" t="s">
        <v>394</v>
      </c>
      <c r="E325" s="35">
        <f>'MEMÓRIA DE CÁLCULO'!J542</f>
        <v>8</v>
      </c>
      <c r="F325" s="36" t="s">
        <v>569</v>
      </c>
      <c r="G325" s="281">
        <v>418.25</v>
      </c>
      <c r="H325" s="281">
        <v>122.76</v>
      </c>
      <c r="I325" s="134">
        <v>0.23880000000000001</v>
      </c>
      <c r="J325" s="493">
        <f>(G325+H325)*E325*1.2388</f>
        <v>5361.6255039999996</v>
      </c>
      <c r="K325" s="490"/>
    </row>
    <row r="326" spans="1:11" ht="16.2" thickBot="1" x14ac:dyDescent="0.35">
      <c r="A326" s="137" t="s">
        <v>396</v>
      </c>
      <c r="B326" s="39" t="s">
        <v>11</v>
      </c>
      <c r="C326" s="39">
        <v>170102</v>
      </c>
      <c r="D326" s="197" t="s">
        <v>738</v>
      </c>
      <c r="E326" s="38">
        <f>'MEMÓRIA DE CÁLCULO'!J545</f>
        <v>1</v>
      </c>
      <c r="F326" s="36" t="s">
        <v>569</v>
      </c>
      <c r="G326" s="30">
        <v>398.17</v>
      </c>
      <c r="H326" s="30">
        <v>122.76</v>
      </c>
      <c r="I326" s="134">
        <v>0.23880000000000001</v>
      </c>
      <c r="J326" s="493">
        <f>(G326+H326)*E326*1.2388</f>
        <v>645.32808399999999</v>
      </c>
      <c r="K326" s="490"/>
    </row>
    <row r="327" spans="1:11" ht="16.2" thickBot="1" x14ac:dyDescent="0.35">
      <c r="A327" s="505" t="s">
        <v>8</v>
      </c>
      <c r="B327" s="506"/>
      <c r="C327" s="506"/>
      <c r="D327" s="506"/>
      <c r="E327" s="506"/>
      <c r="F327" s="506"/>
      <c r="G327" s="506"/>
      <c r="H327" s="506"/>
      <c r="I327" s="506"/>
      <c r="J327" s="507"/>
      <c r="K327" s="40">
        <f>SUM(J325:K326)</f>
        <v>6006.9535879999994</v>
      </c>
    </row>
    <row r="328" spans="1:11" ht="16.2" thickBot="1" x14ac:dyDescent="0.35">
      <c r="A328" s="495" t="s">
        <v>44</v>
      </c>
      <c r="B328" s="496"/>
      <c r="C328" s="496"/>
      <c r="D328" s="496"/>
      <c r="E328" s="496"/>
      <c r="F328" s="496"/>
      <c r="G328" s="496"/>
      <c r="H328" s="496"/>
      <c r="I328" s="496"/>
      <c r="J328" s="496"/>
      <c r="K328" s="497"/>
    </row>
    <row r="329" spans="1:11" x14ac:dyDescent="0.3">
      <c r="A329" s="135">
        <v>15</v>
      </c>
      <c r="B329" s="140" t="s">
        <v>11</v>
      </c>
      <c r="C329" s="140">
        <v>180000</v>
      </c>
      <c r="D329" s="508" t="s">
        <v>45</v>
      </c>
      <c r="E329" s="499"/>
      <c r="F329" s="499"/>
      <c r="G329" s="499"/>
      <c r="H329" s="499"/>
      <c r="I329" s="499"/>
      <c r="J329" s="499"/>
      <c r="K329" s="500"/>
    </row>
    <row r="330" spans="1:11" x14ac:dyDescent="0.3">
      <c r="A330" s="136" t="s">
        <v>880</v>
      </c>
      <c r="B330" s="36" t="s">
        <v>11</v>
      </c>
      <c r="C330" s="36">
        <v>180303</v>
      </c>
      <c r="D330" s="196" t="s">
        <v>697</v>
      </c>
      <c r="E330" s="35">
        <f>'MEMÓRIA DE CÁLCULO'!J552</f>
        <v>346.37000000000006</v>
      </c>
      <c r="F330" s="36" t="s">
        <v>330</v>
      </c>
      <c r="G330" s="281">
        <v>305.18</v>
      </c>
      <c r="H330" s="281">
        <v>46.91</v>
      </c>
      <c r="I330" s="134">
        <v>0.23880000000000001</v>
      </c>
      <c r="J330" s="493">
        <f>(G330+H330)*E330*1.2388</f>
        <v>151075.88839604001</v>
      </c>
      <c r="K330" s="490"/>
    </row>
    <row r="331" spans="1:11" x14ac:dyDescent="0.3">
      <c r="A331" s="136" t="s">
        <v>400</v>
      </c>
      <c r="B331" s="36" t="s">
        <v>11</v>
      </c>
      <c r="C331" s="36">
        <v>180401</v>
      </c>
      <c r="D331" s="196" t="s">
        <v>398</v>
      </c>
      <c r="E331" s="35">
        <f>'MEMÓRIA DE CÁLCULO'!J567</f>
        <v>21.5</v>
      </c>
      <c r="F331" s="36" t="s">
        <v>330</v>
      </c>
      <c r="G331" s="281">
        <v>237.51</v>
      </c>
      <c r="H331" s="281">
        <v>39.29</v>
      </c>
      <c r="I331" s="134">
        <v>0.23880000000000001</v>
      </c>
      <c r="J331" s="493">
        <f t="shared" ref="J331:J336" si="32">(G331+H331)*E331*1.2388</f>
        <v>7372.346559999999</v>
      </c>
      <c r="K331" s="490"/>
    </row>
    <row r="332" spans="1:11" x14ac:dyDescent="0.3">
      <c r="A332" s="136" t="s">
        <v>881</v>
      </c>
      <c r="B332" s="36" t="s">
        <v>11</v>
      </c>
      <c r="C332" s="36">
        <v>180403</v>
      </c>
      <c r="D332" s="196" t="s">
        <v>1203</v>
      </c>
      <c r="E332" s="35">
        <f>'MEMÓRIA DE CÁLCULO'!J574</f>
        <v>3.24</v>
      </c>
      <c r="F332" s="36" t="s">
        <v>330</v>
      </c>
      <c r="G332" s="281">
        <v>233.47</v>
      </c>
      <c r="H332" s="281">
        <v>39.29</v>
      </c>
      <c r="I332" s="134">
        <v>0.23880000000000001</v>
      </c>
      <c r="J332" s="493">
        <f t="shared" si="32"/>
        <v>1094.78008512</v>
      </c>
      <c r="K332" s="490"/>
    </row>
    <row r="333" spans="1:11" x14ac:dyDescent="0.3">
      <c r="A333" s="136" t="s">
        <v>882</v>
      </c>
      <c r="B333" s="36" t="s">
        <v>11</v>
      </c>
      <c r="C333" s="36">
        <v>180506</v>
      </c>
      <c r="D333" s="196" t="s">
        <v>1202</v>
      </c>
      <c r="E333" s="35">
        <f>'MEMÓRIA DE CÁLCULO'!J577</f>
        <v>5.04</v>
      </c>
      <c r="F333" s="36" t="s">
        <v>330</v>
      </c>
      <c r="G333" s="281">
        <v>313.18</v>
      </c>
      <c r="H333" s="281">
        <v>36.770000000000003</v>
      </c>
      <c r="I333" s="134">
        <v>0.23880000000000001</v>
      </c>
      <c r="J333" s="493">
        <f t="shared" si="32"/>
        <v>2184.9310224000001</v>
      </c>
      <c r="K333" s="490"/>
    </row>
    <row r="334" spans="1:11" x14ac:dyDescent="0.3">
      <c r="A334" s="136" t="s">
        <v>401</v>
      </c>
      <c r="B334" s="36" t="s">
        <v>11</v>
      </c>
      <c r="C334" s="36">
        <v>180280</v>
      </c>
      <c r="D334" s="196" t="s">
        <v>541</v>
      </c>
      <c r="E334" s="35">
        <f>'MEMÓRIA DE CÁLCULO'!J580</f>
        <v>28.248000000000001</v>
      </c>
      <c r="F334" s="36" t="s">
        <v>330</v>
      </c>
      <c r="G334" s="281">
        <v>411.1</v>
      </c>
      <c r="H334" s="281">
        <v>37.159999999999997</v>
      </c>
      <c r="I334" s="134">
        <v>0.23880000000000001</v>
      </c>
      <c r="J334" s="493">
        <f t="shared" si="32"/>
        <v>15686.241177024</v>
      </c>
      <c r="K334" s="490"/>
    </row>
    <row r="335" spans="1:11" x14ac:dyDescent="0.3">
      <c r="A335" s="136" t="s">
        <v>883</v>
      </c>
      <c r="B335" s="36" t="s">
        <v>11</v>
      </c>
      <c r="C335" s="36">
        <v>180504</v>
      </c>
      <c r="D335" s="196" t="s">
        <v>1205</v>
      </c>
      <c r="E335" s="35">
        <f>'MEMÓRIA DE CÁLCULO'!J590</f>
        <v>13.44</v>
      </c>
      <c r="F335" s="36" t="s">
        <v>330</v>
      </c>
      <c r="G335" s="281">
        <v>669.96</v>
      </c>
      <c r="H335" s="281">
        <v>36.770000000000003</v>
      </c>
      <c r="I335" s="134">
        <v>0.23880000000000001</v>
      </c>
      <c r="J335" s="493">
        <f t="shared" si="32"/>
        <v>11766.681346559999</v>
      </c>
      <c r="K335" s="490"/>
    </row>
    <row r="336" spans="1:11" ht="16.2" thickBot="1" x14ac:dyDescent="0.35">
      <c r="A336" s="136" t="s">
        <v>402</v>
      </c>
      <c r="B336" s="36" t="s">
        <v>11</v>
      </c>
      <c r="C336" s="36">
        <v>180509</v>
      </c>
      <c r="D336" s="196" t="s">
        <v>399</v>
      </c>
      <c r="E336" s="35">
        <f>'MEMÓRIA DE CÁLCULO'!J596</f>
        <v>12</v>
      </c>
      <c r="F336" s="36" t="s">
        <v>330</v>
      </c>
      <c r="G336" s="281">
        <v>508.13</v>
      </c>
      <c r="H336" s="281">
        <v>36.770000000000003</v>
      </c>
      <c r="I336" s="134">
        <v>0.23880000000000001</v>
      </c>
      <c r="J336" s="493">
        <f t="shared" si="32"/>
        <v>8100.2654399999983</v>
      </c>
      <c r="K336" s="490"/>
    </row>
    <row r="337" spans="1:11" ht="16.2" thickBot="1" x14ac:dyDescent="0.35">
      <c r="A337" s="505" t="s">
        <v>8</v>
      </c>
      <c r="B337" s="506"/>
      <c r="C337" s="506"/>
      <c r="D337" s="506"/>
      <c r="E337" s="506"/>
      <c r="F337" s="506"/>
      <c r="G337" s="506"/>
      <c r="H337" s="506"/>
      <c r="I337" s="506"/>
      <c r="J337" s="507"/>
      <c r="K337" s="40">
        <f>SUM(J330:K336)</f>
        <v>197281.134027144</v>
      </c>
    </row>
    <row r="338" spans="1:11" ht="16.2" thickBot="1" x14ac:dyDescent="0.35">
      <c r="A338" s="495" t="s">
        <v>46</v>
      </c>
      <c r="B338" s="496"/>
      <c r="C338" s="496"/>
      <c r="D338" s="496"/>
      <c r="E338" s="496"/>
      <c r="F338" s="496"/>
      <c r="G338" s="496"/>
      <c r="H338" s="496"/>
      <c r="I338" s="496"/>
      <c r="J338" s="496"/>
      <c r="K338" s="497"/>
    </row>
    <row r="339" spans="1:11" x14ac:dyDescent="0.3">
      <c r="A339" s="135">
        <v>16</v>
      </c>
      <c r="B339" s="140" t="s">
        <v>11</v>
      </c>
      <c r="C339" s="140">
        <v>200000</v>
      </c>
      <c r="D339" s="508" t="s">
        <v>47</v>
      </c>
      <c r="E339" s="499"/>
      <c r="F339" s="499"/>
      <c r="G339" s="499"/>
      <c r="H339" s="499"/>
      <c r="I339" s="499"/>
      <c r="J339" s="499"/>
      <c r="K339" s="500"/>
    </row>
    <row r="340" spans="1:11" x14ac:dyDescent="0.3">
      <c r="A340" s="136" t="s">
        <v>1149</v>
      </c>
      <c r="B340" s="36" t="s">
        <v>11</v>
      </c>
      <c r="C340" s="36">
        <v>200101</v>
      </c>
      <c r="D340" s="196" t="s">
        <v>388</v>
      </c>
      <c r="E340" s="35">
        <f>'MEMÓRIA DE CÁLCULO'!J616</f>
        <v>30705.444999999996</v>
      </c>
      <c r="F340" s="36" t="s">
        <v>15</v>
      </c>
      <c r="G340" s="281">
        <v>2.2799999999999998</v>
      </c>
      <c r="H340" s="281">
        <v>2.78</v>
      </c>
      <c r="I340" s="134">
        <v>0.23880000000000001</v>
      </c>
      <c r="J340" s="493">
        <f>(G340+H340)*E340*1.2388</f>
        <v>192471.80064595997</v>
      </c>
      <c r="K340" s="490"/>
    </row>
    <row r="341" spans="1:11" x14ac:dyDescent="0.3">
      <c r="A341" s="136" t="s">
        <v>1150</v>
      </c>
      <c r="B341" s="36" t="s">
        <v>11</v>
      </c>
      <c r="C341" s="36">
        <v>200201</v>
      </c>
      <c r="D341" s="196" t="s">
        <v>592</v>
      </c>
      <c r="E341" s="35">
        <f>E340</f>
        <v>30705.444999999996</v>
      </c>
      <c r="F341" s="36" t="s">
        <v>330</v>
      </c>
      <c r="G341" s="281">
        <v>8.99</v>
      </c>
      <c r="H341" s="281">
        <v>11.14</v>
      </c>
      <c r="I341" s="134">
        <v>0.23880000000000001</v>
      </c>
      <c r="J341" s="493">
        <f t="shared" ref="J341:J343" si="33">(G341+H341)*E341*1.2388</f>
        <v>765703.03300457995</v>
      </c>
      <c r="K341" s="490"/>
    </row>
    <row r="342" spans="1:11" x14ac:dyDescent="0.3">
      <c r="A342" s="136" t="s">
        <v>1151</v>
      </c>
      <c r="B342" s="36" t="s">
        <v>11</v>
      </c>
      <c r="C342" s="36">
        <v>200403</v>
      </c>
      <c r="D342" s="196" t="s">
        <v>591</v>
      </c>
      <c r="E342" s="35">
        <f>'MEMÓRIA DE CÁLCULO'!J639</f>
        <v>30163.539999999997</v>
      </c>
      <c r="F342" s="36" t="s">
        <v>330</v>
      </c>
      <c r="G342" s="281">
        <v>2.52</v>
      </c>
      <c r="H342" s="281">
        <v>12.17</v>
      </c>
      <c r="I342" s="134">
        <v>0.23880000000000001</v>
      </c>
      <c r="J342" s="493">
        <f t="shared" si="33"/>
        <v>548915.25634087995</v>
      </c>
      <c r="K342" s="490"/>
    </row>
    <row r="343" spans="1:11" ht="16.2" thickBot="1" x14ac:dyDescent="0.35">
      <c r="A343" s="136" t="s">
        <v>1152</v>
      </c>
      <c r="B343" s="39" t="s">
        <v>11</v>
      </c>
      <c r="C343" s="39">
        <v>201302</v>
      </c>
      <c r="D343" s="197" t="s">
        <v>389</v>
      </c>
      <c r="E343" s="38">
        <f>'MEMÓRIA DE CÁLCULO'!J680</f>
        <v>541.90499999999975</v>
      </c>
      <c r="F343" s="36" t="s">
        <v>330</v>
      </c>
      <c r="G343" s="30">
        <v>37.08</v>
      </c>
      <c r="H343" s="30">
        <v>20.56</v>
      </c>
      <c r="I343" s="134">
        <v>0.23880000000000001</v>
      </c>
      <c r="J343" s="493">
        <f t="shared" si="33"/>
        <v>38694.418722959977</v>
      </c>
      <c r="K343" s="490"/>
    </row>
    <row r="344" spans="1:11" ht="16.2" thickBot="1" x14ac:dyDescent="0.35">
      <c r="A344" s="505" t="s">
        <v>8</v>
      </c>
      <c r="B344" s="506"/>
      <c r="C344" s="506"/>
      <c r="D344" s="506"/>
      <c r="E344" s="506"/>
      <c r="F344" s="506"/>
      <c r="G344" s="506"/>
      <c r="H344" s="506"/>
      <c r="I344" s="506"/>
      <c r="J344" s="507"/>
      <c r="K344" s="40">
        <f>SUM(J340:K343)</f>
        <v>1545784.5087143797</v>
      </c>
    </row>
    <row r="345" spans="1:11" ht="16.2" thickBot="1" x14ac:dyDescent="0.35">
      <c r="A345" s="495" t="s">
        <v>48</v>
      </c>
      <c r="B345" s="496"/>
      <c r="C345" s="496"/>
      <c r="D345" s="496"/>
      <c r="E345" s="496"/>
      <c r="F345" s="496"/>
      <c r="G345" s="496"/>
      <c r="H345" s="496"/>
      <c r="I345" s="496"/>
      <c r="J345" s="496"/>
      <c r="K345" s="497"/>
    </row>
    <row r="346" spans="1:11" x14ac:dyDescent="0.3">
      <c r="A346" s="135">
        <v>17</v>
      </c>
      <c r="B346" s="140" t="s">
        <v>11</v>
      </c>
      <c r="C346" s="140">
        <v>210000</v>
      </c>
      <c r="D346" s="508" t="s">
        <v>49</v>
      </c>
      <c r="E346" s="499"/>
      <c r="F346" s="499"/>
      <c r="G346" s="499"/>
      <c r="H346" s="499"/>
      <c r="I346" s="499"/>
      <c r="J346" s="499"/>
      <c r="K346" s="500"/>
    </row>
    <row r="347" spans="1:11" ht="16.2" thickBot="1" x14ac:dyDescent="0.35">
      <c r="A347" s="137" t="s">
        <v>390</v>
      </c>
      <c r="B347" s="39" t="s">
        <v>11</v>
      </c>
      <c r="C347" s="39">
        <v>210515</v>
      </c>
      <c r="D347" s="197" t="s">
        <v>405</v>
      </c>
      <c r="E347" s="38">
        <f>'MEMÓRIA DE CÁLCULO'!J707</f>
        <v>249.12999999999994</v>
      </c>
      <c r="F347" s="39" t="s">
        <v>15</v>
      </c>
      <c r="G347" s="30">
        <v>4.8</v>
      </c>
      <c r="H347" s="30">
        <v>11.08</v>
      </c>
      <c r="I347" s="134">
        <v>0.23880000000000001</v>
      </c>
      <c r="J347" s="493">
        <f>(G347+H347)*E347*1.2388</f>
        <v>4900.9212347199982</v>
      </c>
      <c r="K347" s="490"/>
    </row>
    <row r="348" spans="1:11" ht="16.2" thickBot="1" x14ac:dyDescent="0.35">
      <c r="A348" s="505" t="s">
        <v>8</v>
      </c>
      <c r="B348" s="506"/>
      <c r="C348" s="506"/>
      <c r="D348" s="506"/>
      <c r="E348" s="506"/>
      <c r="F348" s="506"/>
      <c r="G348" s="506"/>
      <c r="H348" s="506"/>
      <c r="I348" s="506"/>
      <c r="J348" s="507"/>
      <c r="K348" s="40">
        <f>SUM(J347:K347)</f>
        <v>4900.9212347199982</v>
      </c>
    </row>
    <row r="349" spans="1:11" ht="16.2" thickBot="1" x14ac:dyDescent="0.35">
      <c r="A349" s="495" t="s">
        <v>50</v>
      </c>
      <c r="B349" s="496"/>
      <c r="C349" s="496"/>
      <c r="D349" s="524"/>
      <c r="E349" s="524"/>
      <c r="F349" s="524"/>
      <c r="G349" s="524"/>
      <c r="H349" s="524"/>
      <c r="I349" s="524"/>
      <c r="J349" s="524"/>
      <c r="K349" s="525"/>
    </row>
    <row r="350" spans="1:11" x14ac:dyDescent="0.3">
      <c r="A350" s="135">
        <v>18</v>
      </c>
      <c r="B350" s="140" t="s">
        <v>11</v>
      </c>
      <c r="C350" s="140">
        <v>220000</v>
      </c>
      <c r="D350" s="520" t="s">
        <v>51</v>
      </c>
      <c r="E350" s="520"/>
      <c r="F350" s="520"/>
      <c r="G350" s="520"/>
      <c r="H350" s="520"/>
      <c r="I350" s="520"/>
      <c r="J350" s="520"/>
      <c r="K350" s="521"/>
    </row>
    <row r="351" spans="1:11" x14ac:dyDescent="0.3">
      <c r="A351" s="138" t="s">
        <v>920</v>
      </c>
      <c r="B351" s="46" t="s">
        <v>11</v>
      </c>
      <c r="C351" s="46">
        <v>220050</v>
      </c>
      <c r="D351" s="196" t="s">
        <v>450</v>
      </c>
      <c r="E351" s="35">
        <f>'MEMÓRIA DE CÁLCULO'!J714</f>
        <v>289.42999999999995</v>
      </c>
      <c r="F351" s="36" t="s">
        <v>15</v>
      </c>
      <c r="G351" s="281">
        <v>18.010000000000002</v>
      </c>
      <c r="H351" s="281">
        <v>8.17</v>
      </c>
      <c r="I351" s="134">
        <v>0.23880000000000001</v>
      </c>
      <c r="J351" s="493">
        <f>(G351+H351)*E351*1.2388</f>
        <v>9386.7312431199989</v>
      </c>
      <c r="K351" s="490"/>
    </row>
    <row r="352" spans="1:11" x14ac:dyDescent="0.3">
      <c r="A352" s="138" t="s">
        <v>1153</v>
      </c>
      <c r="B352" s="46" t="s">
        <v>11</v>
      </c>
      <c r="C352" s="46">
        <v>220104</v>
      </c>
      <c r="D352" s="196" t="s">
        <v>700</v>
      </c>
      <c r="E352" s="35">
        <f>'MEMÓRIA DE CÁLCULO'!J719</f>
        <v>3645.1</v>
      </c>
      <c r="F352" s="36" t="s">
        <v>15</v>
      </c>
      <c r="G352" s="281">
        <v>28.49</v>
      </c>
      <c r="H352" s="281">
        <v>15.26</v>
      </c>
      <c r="I352" s="134">
        <v>0.23880000000000001</v>
      </c>
      <c r="J352" s="493">
        <f t="shared" ref="J352:J356" si="34">(G352+H352)*E352*1.2388</f>
        <v>197555.30724999998</v>
      </c>
      <c r="K352" s="490"/>
    </row>
    <row r="353" spans="1:11" x14ac:dyDescent="0.3">
      <c r="A353" s="138" t="s">
        <v>1154</v>
      </c>
      <c r="B353" s="46" t="s">
        <v>11</v>
      </c>
      <c r="C353" s="46">
        <v>220201</v>
      </c>
      <c r="D353" s="196" t="s">
        <v>451</v>
      </c>
      <c r="E353" s="35">
        <v>545.44000000000005</v>
      </c>
      <c r="F353" s="36" t="s">
        <v>15</v>
      </c>
      <c r="G353" s="281">
        <v>13.97</v>
      </c>
      <c r="H353" s="281">
        <v>11.68</v>
      </c>
      <c r="I353" s="134">
        <v>0.23880000000000001</v>
      </c>
      <c r="J353" s="493">
        <f t="shared" si="34"/>
        <v>17331.4759968</v>
      </c>
      <c r="K353" s="490"/>
    </row>
    <row r="354" spans="1:11" ht="31.2" x14ac:dyDescent="0.3">
      <c r="A354" s="138" t="s">
        <v>1155</v>
      </c>
      <c r="B354" s="46" t="s">
        <v>11</v>
      </c>
      <c r="C354" s="36">
        <v>220100</v>
      </c>
      <c r="D354" s="196" t="s">
        <v>446</v>
      </c>
      <c r="E354" s="35">
        <f>'MEMÓRIA DE CÁLCULO'!J726</f>
        <v>685.04399999999998</v>
      </c>
      <c r="F354" s="36" t="s">
        <v>330</v>
      </c>
      <c r="G354" s="281">
        <v>48.04</v>
      </c>
      <c r="H354" s="281">
        <v>31.49</v>
      </c>
      <c r="I354" s="134">
        <v>0.23880000000000001</v>
      </c>
      <c r="J354" s="493">
        <f t="shared" si="34"/>
        <v>67491.743297615991</v>
      </c>
      <c r="K354" s="490"/>
    </row>
    <row r="355" spans="1:11" ht="31.2" x14ac:dyDescent="0.3">
      <c r="A355" s="138" t="s">
        <v>1156</v>
      </c>
      <c r="B355" s="46" t="s">
        <v>11</v>
      </c>
      <c r="C355" s="36">
        <v>221101</v>
      </c>
      <c r="D355" s="196" t="s">
        <v>447</v>
      </c>
      <c r="E355" s="35">
        <f>'MEMÓRIA DE CÁLCULO'!J733</f>
        <v>3389.0899999999997</v>
      </c>
      <c r="F355" s="36" t="s">
        <v>15</v>
      </c>
      <c r="G355" s="281">
        <v>64.63</v>
      </c>
      <c r="H355" s="281">
        <v>14.71</v>
      </c>
      <c r="I355" s="134">
        <v>0.23880000000000001</v>
      </c>
      <c r="J355" s="493">
        <f t="shared" si="34"/>
        <v>333101.42826327996</v>
      </c>
      <c r="K355" s="490"/>
    </row>
    <row r="356" spans="1:11" ht="16.2" thickBot="1" x14ac:dyDescent="0.35">
      <c r="A356" s="138" t="s">
        <v>1157</v>
      </c>
      <c r="B356" s="142" t="s">
        <v>11</v>
      </c>
      <c r="C356" s="39">
        <v>221102</v>
      </c>
      <c r="D356" s="37" t="s">
        <v>448</v>
      </c>
      <c r="E356" s="38">
        <f>'MEMÓRIA DE CÁLCULO'!J747</f>
        <v>817.00999999999988</v>
      </c>
      <c r="F356" s="39" t="s">
        <v>29</v>
      </c>
      <c r="G356" s="30">
        <v>14.5</v>
      </c>
      <c r="H356" s="30">
        <v>0</v>
      </c>
      <c r="I356" s="134">
        <v>0.23880000000000001</v>
      </c>
      <c r="J356" s="493">
        <f t="shared" si="34"/>
        <v>14675.623825999997</v>
      </c>
      <c r="K356" s="490"/>
    </row>
    <row r="357" spans="1:11" ht="16.2" thickBot="1" x14ac:dyDescent="0.35">
      <c r="A357" s="505" t="s">
        <v>8</v>
      </c>
      <c r="B357" s="506"/>
      <c r="C357" s="506"/>
      <c r="D357" s="506"/>
      <c r="E357" s="506"/>
      <c r="F357" s="506"/>
      <c r="G357" s="506"/>
      <c r="H357" s="506"/>
      <c r="I357" s="506"/>
      <c r="J357" s="507"/>
      <c r="K357" s="40">
        <f>SUM(J351:K356)</f>
        <v>639542.309876816</v>
      </c>
    </row>
    <row r="358" spans="1:11" ht="16.2" thickBot="1" x14ac:dyDescent="0.35">
      <c r="A358" s="495" t="s">
        <v>52</v>
      </c>
      <c r="B358" s="496"/>
      <c r="C358" s="496"/>
      <c r="D358" s="496"/>
      <c r="E358" s="496"/>
      <c r="F358" s="496"/>
      <c r="G358" s="496"/>
      <c r="H358" s="496"/>
      <c r="I358" s="496"/>
      <c r="J358" s="496"/>
      <c r="K358" s="497"/>
    </row>
    <row r="359" spans="1:11" x14ac:dyDescent="0.3">
      <c r="A359" s="135">
        <v>19</v>
      </c>
      <c r="B359" s="140" t="s">
        <v>11</v>
      </c>
      <c r="C359" s="140">
        <v>230000</v>
      </c>
      <c r="D359" s="508" t="s">
        <v>53</v>
      </c>
      <c r="E359" s="499"/>
      <c r="F359" s="499"/>
      <c r="G359" s="499"/>
      <c r="H359" s="499"/>
      <c r="I359" s="499"/>
      <c r="J359" s="499"/>
      <c r="K359" s="500"/>
    </row>
    <row r="360" spans="1:11" x14ac:dyDescent="0.3">
      <c r="A360" s="136" t="s">
        <v>452</v>
      </c>
      <c r="B360" s="36" t="s">
        <v>11</v>
      </c>
      <c r="C360" s="36">
        <v>230101</v>
      </c>
      <c r="D360" s="196" t="s">
        <v>406</v>
      </c>
      <c r="E360" s="35">
        <v>9</v>
      </c>
      <c r="F360" s="36" t="s">
        <v>569</v>
      </c>
      <c r="G360" s="281">
        <v>146.96</v>
      </c>
      <c r="H360" s="281">
        <v>18.04</v>
      </c>
      <c r="I360" s="134">
        <v>0.23880000000000001</v>
      </c>
      <c r="J360" s="493">
        <f>(G360+H360)*E360*1.2388</f>
        <v>1839.6179999999999</v>
      </c>
      <c r="K360" s="490"/>
    </row>
    <row r="361" spans="1:11" x14ac:dyDescent="0.3">
      <c r="A361" s="136" t="s">
        <v>453</v>
      </c>
      <c r="B361" s="36" t="s">
        <v>11</v>
      </c>
      <c r="C361" s="36">
        <v>230174</v>
      </c>
      <c r="D361" s="196" t="s">
        <v>407</v>
      </c>
      <c r="E361" s="35">
        <v>4</v>
      </c>
      <c r="F361" s="36" t="s">
        <v>569</v>
      </c>
      <c r="G361" s="281">
        <v>130.44999999999999</v>
      </c>
      <c r="H361" s="281">
        <v>10.029999999999999</v>
      </c>
      <c r="I361" s="134">
        <v>0.23880000000000001</v>
      </c>
      <c r="J361" s="493">
        <f t="shared" ref="J361:J363" si="35">(G361+H361)*E361*1.2388</f>
        <v>696.10649599999988</v>
      </c>
      <c r="K361" s="490"/>
    </row>
    <row r="362" spans="1:11" x14ac:dyDescent="0.3">
      <c r="A362" s="136" t="s">
        <v>454</v>
      </c>
      <c r="B362" s="36" t="s">
        <v>11</v>
      </c>
      <c r="C362" s="36">
        <v>230176</v>
      </c>
      <c r="D362" s="196" t="s">
        <v>408</v>
      </c>
      <c r="E362" s="35">
        <v>4</v>
      </c>
      <c r="F362" s="36" t="s">
        <v>569</v>
      </c>
      <c r="G362" s="281">
        <v>185.93</v>
      </c>
      <c r="H362" s="281">
        <v>10.029999999999999</v>
      </c>
      <c r="I362" s="134">
        <v>0.23880000000000001</v>
      </c>
      <c r="J362" s="493">
        <f t="shared" si="35"/>
        <v>971.02099199999998</v>
      </c>
      <c r="K362" s="490"/>
    </row>
    <row r="363" spans="1:11" ht="16.2" thickBot="1" x14ac:dyDescent="0.35">
      <c r="A363" s="136" t="s">
        <v>455</v>
      </c>
      <c r="B363" s="39" t="s">
        <v>11</v>
      </c>
      <c r="C363" s="39">
        <v>230201</v>
      </c>
      <c r="D363" s="197" t="s">
        <v>409</v>
      </c>
      <c r="E363" s="38">
        <f>'MEMÓRIA DE CÁLCULO'!J769</f>
        <v>27</v>
      </c>
      <c r="F363" s="36" t="s">
        <v>569</v>
      </c>
      <c r="G363" s="30">
        <v>21.57</v>
      </c>
      <c r="H363" s="30">
        <v>7.17</v>
      </c>
      <c r="I363" s="134">
        <v>0.23880000000000001</v>
      </c>
      <c r="J363" s="493">
        <f t="shared" si="35"/>
        <v>961.28402399999993</v>
      </c>
      <c r="K363" s="490"/>
    </row>
    <row r="364" spans="1:11" ht="16.2" thickBot="1" x14ac:dyDescent="0.35">
      <c r="A364" s="505" t="s">
        <v>8</v>
      </c>
      <c r="B364" s="506"/>
      <c r="C364" s="506"/>
      <c r="D364" s="506"/>
      <c r="E364" s="506"/>
      <c r="F364" s="506"/>
      <c r="G364" s="506"/>
      <c r="H364" s="506"/>
      <c r="I364" s="506"/>
      <c r="J364" s="507"/>
      <c r="K364" s="40">
        <f>SUM(J360:K363)</f>
        <v>4468.0295119999992</v>
      </c>
    </row>
    <row r="365" spans="1:11" ht="16.2" thickBot="1" x14ac:dyDescent="0.35">
      <c r="A365" s="495" t="s">
        <v>54</v>
      </c>
      <c r="B365" s="496"/>
      <c r="C365" s="496"/>
      <c r="D365" s="496"/>
      <c r="E365" s="496"/>
      <c r="F365" s="496"/>
      <c r="G365" s="496"/>
      <c r="H365" s="496"/>
      <c r="I365" s="496"/>
      <c r="J365" s="496"/>
      <c r="K365" s="497"/>
    </row>
    <row r="366" spans="1:11" x14ac:dyDescent="0.3">
      <c r="A366" s="135">
        <v>21</v>
      </c>
      <c r="B366" s="140" t="s">
        <v>11</v>
      </c>
      <c r="C366" s="140">
        <v>260000</v>
      </c>
      <c r="D366" s="508" t="s">
        <v>55</v>
      </c>
      <c r="E366" s="499"/>
      <c r="F366" s="499"/>
      <c r="G366" s="499"/>
      <c r="H366" s="499"/>
      <c r="I366" s="499"/>
      <c r="J366" s="499"/>
      <c r="K366" s="500"/>
    </row>
    <row r="367" spans="1:11" x14ac:dyDescent="0.3">
      <c r="A367" s="136" t="s">
        <v>415</v>
      </c>
      <c r="B367" s="36" t="s">
        <v>11</v>
      </c>
      <c r="C367" s="36">
        <v>260204</v>
      </c>
      <c r="D367" s="196" t="s">
        <v>419</v>
      </c>
      <c r="E367" s="35">
        <f>'MEMÓRIA DE CÁLCULO'!J777</f>
        <v>205.16</v>
      </c>
      <c r="F367" s="36" t="s">
        <v>15</v>
      </c>
      <c r="G367" s="281">
        <v>0.88</v>
      </c>
      <c r="H367" s="281">
        <v>2.64</v>
      </c>
      <c r="I367" s="134">
        <v>0.23880000000000001</v>
      </c>
      <c r="J367" s="493">
        <f>(G367+H367)*E367*1.2388</f>
        <v>894.61577215999989</v>
      </c>
      <c r="K367" s="490"/>
    </row>
    <row r="368" spans="1:11" x14ac:dyDescent="0.3">
      <c r="A368" s="136" t="s">
        <v>416</v>
      </c>
      <c r="B368" s="36" t="s">
        <v>11</v>
      </c>
      <c r="C368" s="36">
        <v>261000</v>
      </c>
      <c r="D368" s="196" t="s">
        <v>422</v>
      </c>
      <c r="E368" s="35">
        <f>'MEMÓRIA DE CÁLCULO'!J791</f>
        <v>1530.6660000000004</v>
      </c>
      <c r="F368" s="36" t="s">
        <v>15</v>
      </c>
      <c r="G368" s="281">
        <v>6.44</v>
      </c>
      <c r="H368" s="281">
        <v>6.32</v>
      </c>
      <c r="I368" s="134">
        <v>0.23880000000000001</v>
      </c>
      <c r="J368" s="493">
        <f t="shared" ref="J368:J375" si="36">(G368+H368)*E368*1.2388</f>
        <v>24195.372160608003</v>
      </c>
      <c r="K368" s="490"/>
    </row>
    <row r="369" spans="1:11" x14ac:dyDescent="0.3">
      <c r="A369" s="136" t="s">
        <v>417</v>
      </c>
      <c r="B369" s="36" t="s">
        <v>11</v>
      </c>
      <c r="C369" s="36">
        <v>261008</v>
      </c>
      <c r="D369" s="196" t="s">
        <v>420</v>
      </c>
      <c r="E369" s="35">
        <f>'MEMÓRIA DE CÁLCULO'!J799</f>
        <v>803.68</v>
      </c>
      <c r="F369" s="36" t="s">
        <v>330</v>
      </c>
      <c r="G369" s="281">
        <v>4.96</v>
      </c>
      <c r="H369" s="281">
        <v>7.25</v>
      </c>
      <c r="I369" s="134">
        <v>0.23880000000000001</v>
      </c>
      <c r="J369" s="493">
        <f t="shared" ref="J369" si="37">(G369+H369)*E369*1.2388</f>
        <v>12156.26115264</v>
      </c>
      <c r="K369" s="490"/>
    </row>
    <row r="370" spans="1:11" x14ac:dyDescent="0.3">
      <c r="A370" s="136" t="s">
        <v>418</v>
      </c>
      <c r="B370" s="36" t="s">
        <v>11</v>
      </c>
      <c r="C370" s="36">
        <v>261300</v>
      </c>
      <c r="D370" s="196" t="s">
        <v>421</v>
      </c>
      <c r="E370" s="35">
        <f>'MEMÓRIA DE CÁLCULO'!J828</f>
        <v>4209.6929999999993</v>
      </c>
      <c r="F370" s="36" t="s">
        <v>330</v>
      </c>
      <c r="G370" s="281">
        <v>1.66</v>
      </c>
      <c r="H370" s="281">
        <v>7.53</v>
      </c>
      <c r="I370" s="134">
        <v>0.23880000000000001</v>
      </c>
      <c r="J370" s="493">
        <f t="shared" si="36"/>
        <v>47925.553056395984</v>
      </c>
      <c r="K370" s="490"/>
    </row>
    <row r="371" spans="1:11" x14ac:dyDescent="0.3">
      <c r="A371" s="136" t="s">
        <v>1158</v>
      </c>
      <c r="B371" s="36" t="s">
        <v>11</v>
      </c>
      <c r="C371" s="36">
        <v>261302</v>
      </c>
      <c r="D371" s="196" t="s">
        <v>423</v>
      </c>
      <c r="E371" s="35">
        <f>'MEMÓRIA DE CÁLCULO'!J854</f>
        <v>4458.8230000000021</v>
      </c>
      <c r="F371" s="36" t="s">
        <v>330</v>
      </c>
      <c r="G371" s="281">
        <v>5.31</v>
      </c>
      <c r="H371" s="281">
        <v>5.27</v>
      </c>
      <c r="I371" s="134">
        <v>0.23880000000000001</v>
      </c>
      <c r="J371" s="493">
        <f t="shared" si="36"/>
        <v>58439.581484792012</v>
      </c>
      <c r="K371" s="490"/>
    </row>
    <row r="372" spans="1:11" x14ac:dyDescent="0.3">
      <c r="A372" s="136" t="s">
        <v>1159</v>
      </c>
      <c r="B372" s="36" t="s">
        <v>11</v>
      </c>
      <c r="C372" s="36">
        <v>261504</v>
      </c>
      <c r="D372" s="196" t="s">
        <v>438</v>
      </c>
      <c r="E372" s="35">
        <f>'MEMÓRIA DE CÁLCULO'!J862</f>
        <v>111.08</v>
      </c>
      <c r="F372" s="36" t="s">
        <v>330</v>
      </c>
      <c r="G372" s="281">
        <v>2.64</v>
      </c>
      <c r="H372" s="281">
        <v>7.25</v>
      </c>
      <c r="I372" s="134">
        <v>0.23880000000000001</v>
      </c>
      <c r="J372" s="493">
        <f t="shared" ref="J372" si="38">(G372+H372)*E372*1.2388</f>
        <v>1360.9223905599999</v>
      </c>
      <c r="K372" s="490"/>
    </row>
    <row r="373" spans="1:11" x14ac:dyDescent="0.3">
      <c r="A373" s="136" t="s">
        <v>1160</v>
      </c>
      <c r="B373" s="36" t="s">
        <v>11</v>
      </c>
      <c r="C373" s="36">
        <v>261560</v>
      </c>
      <c r="D373" s="196" t="s">
        <v>437</v>
      </c>
      <c r="E373" s="35">
        <f>'MEMÓRIA DE CÁLCULO'!J866</f>
        <v>32.088000000000001</v>
      </c>
      <c r="F373" s="36" t="s">
        <v>330</v>
      </c>
      <c r="G373" s="281">
        <v>10.37</v>
      </c>
      <c r="H373" s="281">
        <v>11.6</v>
      </c>
      <c r="I373" s="134">
        <v>0.23880000000000001</v>
      </c>
      <c r="J373" s="493">
        <f t="shared" si="36"/>
        <v>873.32099836799989</v>
      </c>
      <c r="K373" s="490"/>
    </row>
    <row r="374" spans="1:11" x14ac:dyDescent="0.3">
      <c r="A374" s="136" t="s">
        <v>1161</v>
      </c>
      <c r="B374" s="36" t="s">
        <v>11</v>
      </c>
      <c r="C374" s="36">
        <v>261609</v>
      </c>
      <c r="D374" s="196" t="s">
        <v>424</v>
      </c>
      <c r="E374" s="35">
        <f>'MEMÓRIA DE CÁLCULO'!J872</f>
        <v>4776.09</v>
      </c>
      <c r="F374" s="36" t="s">
        <v>330</v>
      </c>
      <c r="G374" s="281">
        <v>11.94</v>
      </c>
      <c r="H374" s="281">
        <v>3.09</v>
      </c>
      <c r="I374" s="134">
        <v>0.23880000000000001</v>
      </c>
      <c r="J374" s="493">
        <f t="shared" si="36"/>
        <v>88926.802988759999</v>
      </c>
      <c r="K374" s="490"/>
    </row>
    <row r="375" spans="1:11" x14ac:dyDescent="0.3">
      <c r="A375" s="136" t="s">
        <v>1162</v>
      </c>
      <c r="B375" s="36" t="s">
        <v>11</v>
      </c>
      <c r="C375" s="36">
        <v>261700</v>
      </c>
      <c r="D375" s="196" t="s">
        <v>425</v>
      </c>
      <c r="E375" s="35">
        <f>'MEMÓRIA DE CÁLCULO'!J875</f>
        <v>1029</v>
      </c>
      <c r="F375" s="36" t="s">
        <v>29</v>
      </c>
      <c r="G375" s="281">
        <v>0.59</v>
      </c>
      <c r="H375" s="281">
        <v>7.11</v>
      </c>
      <c r="I375" s="134">
        <v>0.23880000000000001</v>
      </c>
      <c r="J375" s="493">
        <f t="shared" si="36"/>
        <v>9815.384039999999</v>
      </c>
      <c r="K375" s="490"/>
    </row>
    <row r="376" spans="1:11" x14ac:dyDescent="0.3">
      <c r="A376" s="136" t="s">
        <v>1163</v>
      </c>
      <c r="B376" s="36" t="s">
        <v>11</v>
      </c>
      <c r="C376" s="36">
        <v>261305</v>
      </c>
      <c r="D376" s="196" t="s">
        <v>977</v>
      </c>
      <c r="E376" s="35">
        <f>'MEMÓRIA DE CÁLCULO'!J878</f>
        <v>1530.6660000000004</v>
      </c>
      <c r="F376" s="36" t="s">
        <v>15</v>
      </c>
      <c r="G376" s="225">
        <v>2.06</v>
      </c>
      <c r="H376" s="225">
        <v>6.21</v>
      </c>
      <c r="I376" s="134">
        <v>0.23880000000000001</v>
      </c>
      <c r="J376" s="493">
        <f t="shared" ref="J376" si="39">(G376+H376)*E376*1.2388</f>
        <v>15681.483367416002</v>
      </c>
      <c r="K376" s="490"/>
    </row>
    <row r="377" spans="1:11" ht="16.2" thickBot="1" x14ac:dyDescent="0.35">
      <c r="A377" s="513" t="s">
        <v>8</v>
      </c>
      <c r="B377" s="514"/>
      <c r="C377" s="514"/>
      <c r="D377" s="514"/>
      <c r="E377" s="514"/>
      <c r="F377" s="514"/>
      <c r="G377" s="514"/>
      <c r="H377" s="514"/>
      <c r="I377" s="514"/>
      <c r="J377" s="515"/>
      <c r="K377" s="158">
        <f>SUM(J367:K376)</f>
        <v>260269.29741170001</v>
      </c>
    </row>
    <row r="378" spans="1:11" ht="16.2" thickBot="1" x14ac:dyDescent="0.35">
      <c r="A378" s="495" t="s">
        <v>56</v>
      </c>
      <c r="B378" s="496"/>
      <c r="C378" s="496"/>
      <c r="D378" s="496"/>
      <c r="E378" s="496"/>
      <c r="F378" s="496"/>
      <c r="G378" s="496"/>
      <c r="H378" s="496"/>
      <c r="I378" s="496"/>
      <c r="J378" s="496"/>
      <c r="K378" s="497"/>
    </row>
    <row r="379" spans="1:11" x14ac:dyDescent="0.3">
      <c r="A379" s="135">
        <v>22</v>
      </c>
      <c r="B379" s="140" t="s">
        <v>11</v>
      </c>
      <c r="C379" s="140">
        <v>270000</v>
      </c>
      <c r="D379" s="508" t="s">
        <v>57</v>
      </c>
      <c r="E379" s="499"/>
      <c r="F379" s="499"/>
      <c r="G379" s="499"/>
      <c r="H379" s="499"/>
      <c r="I379" s="499"/>
      <c r="J379" s="499"/>
      <c r="K379" s="500"/>
    </row>
    <row r="380" spans="1:11" ht="31.2" x14ac:dyDescent="0.3">
      <c r="A380" s="136" t="s">
        <v>427</v>
      </c>
      <c r="B380" s="36" t="s">
        <v>11</v>
      </c>
      <c r="C380" s="36">
        <v>270210</v>
      </c>
      <c r="D380" s="196" t="s">
        <v>740</v>
      </c>
      <c r="E380" s="35">
        <f>'MEMÓRIA DE CÁLCULO'!J884</f>
        <v>478.52</v>
      </c>
      <c r="F380" s="36" t="s">
        <v>15</v>
      </c>
      <c r="G380" s="281">
        <v>14.46</v>
      </c>
      <c r="H380" s="281">
        <v>5.37</v>
      </c>
      <c r="I380" s="134">
        <v>0.23880000000000001</v>
      </c>
      <c r="J380" s="493">
        <f>(G380+H380)*E380*1.2388</f>
        <v>11755.037122080001</v>
      </c>
      <c r="K380" s="490"/>
    </row>
    <row r="381" spans="1:11" ht="31.2" x14ac:dyDescent="0.3">
      <c r="A381" s="136" t="s">
        <v>428</v>
      </c>
      <c r="B381" s="36" t="s">
        <v>11</v>
      </c>
      <c r="C381" s="36">
        <v>270207</v>
      </c>
      <c r="D381" s="196" t="s">
        <v>762</v>
      </c>
      <c r="E381" s="35">
        <f>'MEMÓRIA DE CÁLCULO'!J887</f>
        <v>2339.89</v>
      </c>
      <c r="F381" s="36" t="s">
        <v>15</v>
      </c>
      <c r="G381" s="281">
        <v>9.41</v>
      </c>
      <c r="H381" s="281">
        <v>5.97</v>
      </c>
      <c r="I381" s="134">
        <v>0.23880000000000001</v>
      </c>
      <c r="J381" s="493">
        <f>(G381+H381)*E381*1.2388</f>
        <v>44581.325158159991</v>
      </c>
      <c r="K381" s="490"/>
    </row>
    <row r="382" spans="1:11" x14ac:dyDescent="0.3">
      <c r="A382" s="136" t="s">
        <v>429</v>
      </c>
      <c r="B382" s="36" t="s">
        <v>11</v>
      </c>
      <c r="C382" s="36">
        <v>270501</v>
      </c>
      <c r="D382" s="196" t="s">
        <v>1305</v>
      </c>
      <c r="E382" s="35">
        <f>'MEMÓRIA DE CÁLCULO'!J893</f>
        <v>4524.62</v>
      </c>
      <c r="F382" s="36" t="s">
        <v>15</v>
      </c>
      <c r="G382" s="281">
        <v>1.1000000000000001</v>
      </c>
      <c r="H382" s="281">
        <v>1.59</v>
      </c>
      <c r="I382" s="134">
        <v>0.23880000000000001</v>
      </c>
      <c r="J382" s="493">
        <f t="shared" ref="J382:J389" si="40">(G382+H382)*E382*1.2388</f>
        <v>15077.71699864</v>
      </c>
      <c r="K382" s="490"/>
    </row>
    <row r="383" spans="1:11" x14ac:dyDescent="0.3">
      <c r="A383" s="136" t="s">
        <v>430</v>
      </c>
      <c r="B383" s="36" t="s">
        <v>11</v>
      </c>
      <c r="C383" s="36">
        <v>270702</v>
      </c>
      <c r="D383" s="196" t="s">
        <v>457</v>
      </c>
      <c r="E383" s="35">
        <f>'MEMÓRIA DE CÁLCULO'!J896</f>
        <v>584.92999999999995</v>
      </c>
      <c r="F383" s="36" t="s">
        <v>29</v>
      </c>
      <c r="G383" s="281">
        <v>125.44</v>
      </c>
      <c r="H383" s="281">
        <v>43.75</v>
      </c>
      <c r="I383" s="134">
        <v>0.23880000000000001</v>
      </c>
      <c r="J383" s="493">
        <f t="shared" si="40"/>
        <v>122596.98313995998</v>
      </c>
      <c r="K383" s="490"/>
    </row>
    <row r="384" spans="1:11" x14ac:dyDescent="0.3">
      <c r="A384" s="136" t="s">
        <v>431</v>
      </c>
      <c r="B384" s="36" t="s">
        <v>11</v>
      </c>
      <c r="C384" s="36">
        <v>270806</v>
      </c>
      <c r="D384" s="196" t="s">
        <v>458</v>
      </c>
      <c r="E384" s="35">
        <f>'MEMÓRIA DE CÁLCULO'!J899</f>
        <v>1</v>
      </c>
      <c r="F384" s="36" t="s">
        <v>569</v>
      </c>
      <c r="G384" s="281">
        <v>946</v>
      </c>
      <c r="H384" s="281">
        <v>4.51</v>
      </c>
      <c r="I384" s="134">
        <v>0.23880000000000001</v>
      </c>
      <c r="J384" s="493">
        <f t="shared" si="40"/>
        <v>1177.4917879999998</v>
      </c>
      <c r="K384" s="490"/>
    </row>
    <row r="385" spans="1:11" x14ac:dyDescent="0.3">
      <c r="A385" s="136" t="s">
        <v>432</v>
      </c>
      <c r="B385" s="36" t="s">
        <v>11</v>
      </c>
      <c r="C385" s="36">
        <v>271304</v>
      </c>
      <c r="D385" s="196" t="s">
        <v>735</v>
      </c>
      <c r="E385" s="35">
        <f>'MEMÓRIA DE CÁLCULO'!J907</f>
        <v>7.1199999999999992</v>
      </c>
      <c r="F385" s="36" t="s">
        <v>15</v>
      </c>
      <c r="G385" s="281">
        <v>217.74</v>
      </c>
      <c r="H385" s="281">
        <v>41.37</v>
      </c>
      <c r="I385" s="134">
        <v>0.23880000000000001</v>
      </c>
      <c r="J385" s="493">
        <f t="shared" si="40"/>
        <v>2285.4165321599999</v>
      </c>
      <c r="K385" s="490"/>
    </row>
    <row r="386" spans="1:11" x14ac:dyDescent="0.3">
      <c r="A386" s="136" t="s">
        <v>433</v>
      </c>
      <c r="B386" s="36" t="s">
        <v>11</v>
      </c>
      <c r="C386" s="36">
        <v>271605</v>
      </c>
      <c r="D386" s="196" t="s">
        <v>460</v>
      </c>
      <c r="E386" s="35">
        <f>'MEMÓRIA DE CÁLCULO'!J910</f>
        <v>84</v>
      </c>
      <c r="F386" s="36" t="s">
        <v>569</v>
      </c>
      <c r="G386" s="281">
        <v>18.75</v>
      </c>
      <c r="H386" s="281">
        <v>7.17</v>
      </c>
      <c r="I386" s="134">
        <v>0.23880000000000001</v>
      </c>
      <c r="J386" s="493">
        <f t="shared" si="40"/>
        <v>2697.2144640000001</v>
      </c>
      <c r="K386" s="490"/>
    </row>
    <row r="387" spans="1:11" x14ac:dyDescent="0.3">
      <c r="A387" s="136" t="s">
        <v>434</v>
      </c>
      <c r="B387" s="36" t="s">
        <v>11</v>
      </c>
      <c r="C387" s="36">
        <v>271608</v>
      </c>
      <c r="D387" s="196" t="s">
        <v>561</v>
      </c>
      <c r="E387" s="35">
        <f>'MEMÓRIA DE CÁLCULO'!J915</f>
        <v>4.1879999999999997</v>
      </c>
      <c r="F387" s="36" t="s">
        <v>15</v>
      </c>
      <c r="G387" s="281">
        <v>528.63</v>
      </c>
      <c r="H387" s="281">
        <v>41.37</v>
      </c>
      <c r="I387" s="134">
        <v>0.23880000000000001</v>
      </c>
      <c r="J387" s="493">
        <f t="shared" si="40"/>
        <v>2957.2138079999995</v>
      </c>
      <c r="K387" s="490"/>
    </row>
    <row r="388" spans="1:11" ht="62.4" x14ac:dyDescent="0.3">
      <c r="A388" s="136" t="s">
        <v>435</v>
      </c>
      <c r="B388" s="36" t="s">
        <v>11</v>
      </c>
      <c r="C388" s="239">
        <v>271714</v>
      </c>
      <c r="D388" s="196" t="s">
        <v>560</v>
      </c>
      <c r="E388" s="35">
        <f>'MEMÓRIA DE CÁLCULO'!J921</f>
        <v>824.64</v>
      </c>
      <c r="F388" s="36" t="s">
        <v>221</v>
      </c>
      <c r="G388" s="281">
        <v>9.19</v>
      </c>
      <c r="H388" s="281">
        <v>8.02</v>
      </c>
      <c r="I388" s="134">
        <v>0.23880000000000001</v>
      </c>
      <c r="J388" s="493">
        <f t="shared" si="40"/>
        <v>17581.116990719998</v>
      </c>
      <c r="K388" s="490"/>
    </row>
    <row r="389" spans="1:11" ht="16.2" thickBot="1" x14ac:dyDescent="0.35">
      <c r="A389" s="136" t="s">
        <v>439</v>
      </c>
      <c r="B389" s="39" t="s">
        <v>11</v>
      </c>
      <c r="C389" s="39">
        <v>271852</v>
      </c>
      <c r="D389" s="197" t="s">
        <v>459</v>
      </c>
      <c r="E389" s="38">
        <f>'MEMÓRIA DE CÁLCULO'!J924</f>
        <v>15</v>
      </c>
      <c r="F389" s="39" t="s">
        <v>29</v>
      </c>
      <c r="G389" s="30">
        <v>670.2</v>
      </c>
      <c r="H389" s="30">
        <v>0</v>
      </c>
      <c r="I389" s="134">
        <v>0.23880000000000001</v>
      </c>
      <c r="J389" s="493">
        <f t="shared" si="40"/>
        <v>12453.6564</v>
      </c>
      <c r="K389" s="490"/>
    </row>
    <row r="390" spans="1:11" ht="16.2" thickBot="1" x14ac:dyDescent="0.35">
      <c r="A390" s="505" t="s">
        <v>8</v>
      </c>
      <c r="B390" s="506"/>
      <c r="C390" s="506"/>
      <c r="D390" s="506"/>
      <c r="E390" s="506"/>
      <c r="F390" s="506"/>
      <c r="G390" s="506"/>
      <c r="H390" s="506"/>
      <c r="I390" s="506"/>
      <c r="J390" s="507"/>
      <c r="K390" s="40">
        <f>SUM(J380:K389)</f>
        <v>233163.17240171996</v>
      </c>
    </row>
    <row r="391" spans="1:11" ht="16.2" thickBot="1" x14ac:dyDescent="0.35">
      <c r="A391" s="495" t="s">
        <v>537</v>
      </c>
      <c r="B391" s="496"/>
      <c r="C391" s="496"/>
      <c r="D391" s="496"/>
      <c r="E391" s="496"/>
      <c r="F391" s="496"/>
      <c r="G391" s="496"/>
      <c r="H391" s="496"/>
      <c r="I391" s="496"/>
      <c r="J391" s="496"/>
      <c r="K391" s="497"/>
    </row>
    <row r="392" spans="1:11" x14ac:dyDescent="0.3">
      <c r="A392" s="194">
        <v>23</v>
      </c>
      <c r="B392" s="477" t="s">
        <v>1306</v>
      </c>
      <c r="C392" s="195">
        <v>100002</v>
      </c>
      <c r="D392" s="498" t="s">
        <v>539</v>
      </c>
      <c r="E392" s="499"/>
      <c r="F392" s="499"/>
      <c r="G392" s="499"/>
      <c r="H392" s="499"/>
      <c r="I392" s="499"/>
      <c r="J392" s="499"/>
      <c r="K392" s="500"/>
    </row>
    <row r="393" spans="1:11" ht="31.2" x14ac:dyDescent="0.3">
      <c r="A393" s="136" t="s">
        <v>756</v>
      </c>
      <c r="B393" s="239" t="s">
        <v>1306</v>
      </c>
      <c r="C393" s="270">
        <v>40046</v>
      </c>
      <c r="D393" s="208" t="s">
        <v>754</v>
      </c>
      <c r="E393" s="35">
        <f>'MEMÓRIA DE CÁLCULO'!J929</f>
        <v>16480.25</v>
      </c>
      <c r="F393" s="270" t="s">
        <v>83</v>
      </c>
      <c r="G393" s="501">
        <v>11.45</v>
      </c>
      <c r="H393" s="502">
        <v>26.64</v>
      </c>
      <c r="I393" s="134">
        <v>0.2651</v>
      </c>
      <c r="J393" s="493">
        <f t="shared" ref="J393:J406" si="41">(G393)*E393*(1+I393)</f>
        <v>238722.93094874997</v>
      </c>
      <c r="K393" s="490"/>
    </row>
    <row r="394" spans="1:11" x14ac:dyDescent="0.3">
      <c r="A394" s="136" t="s">
        <v>461</v>
      </c>
      <c r="B394" s="239" t="s">
        <v>1306</v>
      </c>
      <c r="C394" s="271">
        <v>40101</v>
      </c>
      <c r="D394" s="207" t="s">
        <v>755</v>
      </c>
      <c r="E394" s="35">
        <f>'MEMÓRIA DE CÁLCULO'!J932</f>
        <v>16423.580000000002</v>
      </c>
      <c r="F394" s="270" t="s">
        <v>83</v>
      </c>
      <c r="G394" s="501">
        <v>5.34</v>
      </c>
      <c r="H394" s="502">
        <v>26.64</v>
      </c>
      <c r="I394" s="134">
        <v>0.2651</v>
      </c>
      <c r="J394" s="493">
        <f t="shared" si="41"/>
        <v>110951.69544972001</v>
      </c>
      <c r="K394" s="490"/>
    </row>
    <row r="395" spans="1:11" x14ac:dyDescent="0.3">
      <c r="A395" s="136" t="s">
        <v>462</v>
      </c>
      <c r="B395" s="239" t="s">
        <v>1306</v>
      </c>
      <c r="C395" s="36">
        <v>40310</v>
      </c>
      <c r="D395" s="206" t="s">
        <v>1307</v>
      </c>
      <c r="E395" s="35">
        <f>'MEMÓRIA DE CÁLCULO'!J936</f>
        <v>18041.310000000001</v>
      </c>
      <c r="F395" s="36" t="s">
        <v>15</v>
      </c>
      <c r="G395" s="491">
        <v>2.5499999999999998</v>
      </c>
      <c r="H395" s="492"/>
      <c r="I395" s="134">
        <v>0.2651</v>
      </c>
      <c r="J395" s="493">
        <f t="shared" si="41"/>
        <v>58201.356266549992</v>
      </c>
      <c r="K395" s="490"/>
    </row>
    <row r="396" spans="1:11" x14ac:dyDescent="0.3">
      <c r="A396" s="136" t="s">
        <v>463</v>
      </c>
      <c r="B396" s="239" t="s">
        <v>1306</v>
      </c>
      <c r="C396" s="36">
        <v>40316</v>
      </c>
      <c r="D396" s="206" t="s">
        <v>1308</v>
      </c>
      <c r="E396" s="35">
        <f>'MEMÓRIA DE CÁLCULO'!J940</f>
        <v>1929.7124999999999</v>
      </c>
      <c r="F396" s="36" t="s">
        <v>72</v>
      </c>
      <c r="G396" s="491">
        <v>11.55</v>
      </c>
      <c r="H396" s="492"/>
      <c r="I396" s="134">
        <v>0.2651</v>
      </c>
      <c r="J396" s="493">
        <f t="shared" si="41"/>
        <v>28196.775727312499</v>
      </c>
      <c r="K396" s="490"/>
    </row>
    <row r="397" spans="1:11" x14ac:dyDescent="0.3">
      <c r="A397" s="136" t="s">
        <v>757</v>
      </c>
      <c r="B397" s="239" t="s">
        <v>1306</v>
      </c>
      <c r="C397" s="36">
        <v>40320</v>
      </c>
      <c r="D397" s="263" t="s">
        <v>1309</v>
      </c>
      <c r="E397" s="35">
        <f>'MEMÓRIA DE CÁLCULO'!J944</f>
        <v>17830.5435</v>
      </c>
      <c r="F397" s="36" t="s">
        <v>538</v>
      </c>
      <c r="G397" s="494">
        <v>2.98</v>
      </c>
      <c r="H397" s="494"/>
      <c r="I397" s="134">
        <v>0.2651</v>
      </c>
      <c r="J397" s="493">
        <f t="shared" si="41"/>
        <v>67221.113333913003</v>
      </c>
      <c r="K397" s="490"/>
    </row>
    <row r="398" spans="1:11" ht="46.8" x14ac:dyDescent="0.3">
      <c r="A398" s="136" t="s">
        <v>758</v>
      </c>
      <c r="B398" s="239" t="s">
        <v>61</v>
      </c>
      <c r="C398" s="36">
        <v>101767</v>
      </c>
      <c r="D398" s="263" t="s">
        <v>1187</v>
      </c>
      <c r="E398" s="35">
        <f>'MEMÓRIA DE CÁLCULO'!J948</f>
        <v>1929.7124999999999</v>
      </c>
      <c r="F398" s="36" t="s">
        <v>72</v>
      </c>
      <c r="G398" s="494">
        <v>25.58</v>
      </c>
      <c r="H398" s="494"/>
      <c r="I398" s="134">
        <v>0.2651</v>
      </c>
      <c r="J398" s="493">
        <f t="shared" si="41"/>
        <v>62447.924078324984</v>
      </c>
      <c r="K398" s="490"/>
    </row>
    <row r="399" spans="1:11" x14ac:dyDescent="0.3">
      <c r="A399" s="136" t="s">
        <v>464</v>
      </c>
      <c r="B399" s="239" t="s">
        <v>1306</v>
      </c>
      <c r="C399" s="36">
        <v>44201</v>
      </c>
      <c r="D399" s="263" t="s">
        <v>1190</v>
      </c>
      <c r="E399" s="35">
        <f>'MEMÓRIA DE CÁLCULO'!J952</f>
        <v>12864.75</v>
      </c>
      <c r="F399" s="36" t="s">
        <v>330</v>
      </c>
      <c r="G399" s="494">
        <v>0.48</v>
      </c>
      <c r="H399" s="494"/>
      <c r="I399" s="134">
        <v>0.2651</v>
      </c>
      <c r="J399" s="493">
        <f t="shared" si="41"/>
        <v>7812.0937079999994</v>
      </c>
      <c r="K399" s="490"/>
    </row>
    <row r="400" spans="1:11" x14ac:dyDescent="0.3">
      <c r="A400" s="136" t="s">
        <v>759</v>
      </c>
      <c r="B400" s="239" t="s">
        <v>1306</v>
      </c>
      <c r="C400" s="36">
        <v>44200</v>
      </c>
      <c r="D400" s="266" t="s">
        <v>752</v>
      </c>
      <c r="E400" s="35">
        <f>'MEMÓRIA DE CÁLCULO'!J956</f>
        <v>12864.75</v>
      </c>
      <c r="F400" s="36" t="s">
        <v>330</v>
      </c>
      <c r="G400" s="494">
        <v>0.49</v>
      </c>
      <c r="H400" s="494"/>
      <c r="I400" s="134">
        <v>0.2651</v>
      </c>
      <c r="J400" s="493">
        <f t="shared" si="41"/>
        <v>7974.8456602499991</v>
      </c>
      <c r="K400" s="490"/>
    </row>
    <row r="401" spans="1:14" x14ac:dyDescent="0.3">
      <c r="A401" s="136" t="s">
        <v>760</v>
      </c>
      <c r="B401" s="239" t="s">
        <v>1306</v>
      </c>
      <c r="C401" s="36">
        <v>40485</v>
      </c>
      <c r="D401" s="206" t="s">
        <v>1181</v>
      </c>
      <c r="E401" s="35">
        <f>'MEMÓRIA DE CÁLCULO'!J960</f>
        <v>16.724174999999999</v>
      </c>
      <c r="F401" s="36" t="s">
        <v>573</v>
      </c>
      <c r="G401" s="491">
        <f>'MATERIAL ASFÁLTICO'!F18+'MATERIAL ASFÁLTICO'!G18</f>
        <v>3793.3185154815055</v>
      </c>
      <c r="H401" s="492"/>
      <c r="I401" s="134">
        <v>0.1724</v>
      </c>
      <c r="J401" s="493">
        <f t="shared" si="41"/>
        <v>74377.19983431467</v>
      </c>
      <c r="K401" s="490"/>
      <c r="M401" s="265"/>
      <c r="N401" s="265"/>
    </row>
    <row r="402" spans="1:14" x14ac:dyDescent="0.3">
      <c r="A402" s="136" t="s">
        <v>761</v>
      </c>
      <c r="B402" s="239" t="s">
        <v>1306</v>
      </c>
      <c r="C402" s="239">
        <v>40490</v>
      </c>
      <c r="D402" s="206" t="s">
        <v>540</v>
      </c>
      <c r="E402" s="35">
        <f>'MEMÓRIA DE CÁLCULO'!J964</f>
        <v>6.4323749999999995</v>
      </c>
      <c r="F402" s="36" t="s">
        <v>573</v>
      </c>
      <c r="G402" s="491">
        <f>'MATERIAL ASFÁLTICO'!F19+'MATERIAL ASFÁLTICO'!G19</f>
        <v>4077.6217821694836</v>
      </c>
      <c r="H402" s="492"/>
      <c r="I402" s="134">
        <v>0.1724</v>
      </c>
      <c r="J402" s="493">
        <f t="shared" si="41"/>
        <v>30750.636222753044</v>
      </c>
      <c r="K402" s="490"/>
    </row>
    <row r="403" spans="1:14" x14ac:dyDescent="0.3">
      <c r="A403" s="136" t="s">
        <v>1164</v>
      </c>
      <c r="B403" s="239" t="s">
        <v>1306</v>
      </c>
      <c r="C403" s="239">
        <v>40525</v>
      </c>
      <c r="D403" s="206" t="s">
        <v>1220</v>
      </c>
      <c r="E403" s="35">
        <f>'MEMÓRIA DE CÁLCULO'!J968</f>
        <v>48.165624000000001</v>
      </c>
      <c r="F403" s="36" t="s">
        <v>573</v>
      </c>
      <c r="G403" s="491">
        <f>'MATERIAL ASFÁLTICO'!F20+'MATERIAL ASFÁLTICO'!G20</f>
        <v>5349.3113402959225</v>
      </c>
      <c r="H403" s="492"/>
      <c r="I403" s="134">
        <v>0.1724</v>
      </c>
      <c r="J403" s="493">
        <f t="shared" ref="J403" si="42">(G403)*E403*(1+I403)</f>
        <v>302072.28185530799</v>
      </c>
      <c r="K403" s="490"/>
    </row>
    <row r="404" spans="1:14" x14ac:dyDescent="0.3">
      <c r="A404" s="136" t="s">
        <v>1188</v>
      </c>
      <c r="B404" s="239" t="s">
        <v>1306</v>
      </c>
      <c r="C404" s="36">
        <v>40530</v>
      </c>
      <c r="D404" s="206" t="s">
        <v>1215</v>
      </c>
      <c r="E404" s="35">
        <f>'MEMÓRIA DE CÁLCULO'!J974</f>
        <v>71.322174000000004</v>
      </c>
      <c r="F404" s="36" t="s">
        <v>573</v>
      </c>
      <c r="G404" s="491">
        <f>'MATERIAL ASFÁLTICO'!E29</f>
        <v>161.78416807098952</v>
      </c>
      <c r="H404" s="492"/>
      <c r="I404" s="134">
        <v>0.2651</v>
      </c>
      <c r="J404" s="493">
        <f t="shared" si="41"/>
        <v>14597.734090648075</v>
      </c>
      <c r="K404" s="490"/>
    </row>
    <row r="405" spans="1:14" x14ac:dyDescent="0.3">
      <c r="A405" s="136" t="s">
        <v>1189</v>
      </c>
      <c r="B405" s="239" t="s">
        <v>1306</v>
      </c>
      <c r="C405" s="36">
        <v>44204</v>
      </c>
      <c r="D405" s="475" t="s">
        <v>751</v>
      </c>
      <c r="E405" s="38">
        <f>'MEMÓRIA DE CÁLCULO'!J978</f>
        <v>385.9425</v>
      </c>
      <c r="F405" s="39" t="s">
        <v>83</v>
      </c>
      <c r="G405" s="487">
        <v>433.01</v>
      </c>
      <c r="H405" s="488"/>
      <c r="I405" s="134">
        <v>0.2651</v>
      </c>
      <c r="J405" s="493">
        <f t="shared" si="41"/>
        <v>211419.66853131747</v>
      </c>
      <c r="K405" s="490"/>
    </row>
    <row r="406" spans="1:14" x14ac:dyDescent="0.3">
      <c r="A406" s="136" t="s">
        <v>1219</v>
      </c>
      <c r="B406" s="239" t="s">
        <v>1306</v>
      </c>
      <c r="C406" s="39">
        <v>40460</v>
      </c>
      <c r="D406" s="269" t="s">
        <v>1217</v>
      </c>
      <c r="E406" s="38">
        <f>'MEMÓRIA DE CÁLCULO'!J982</f>
        <v>32882.300999999999</v>
      </c>
      <c r="F406" s="39" t="s">
        <v>572</v>
      </c>
      <c r="G406" s="487">
        <v>0.88</v>
      </c>
      <c r="H406" s="488"/>
      <c r="I406" s="134">
        <v>0.2651</v>
      </c>
      <c r="J406" s="489">
        <f t="shared" si="41"/>
        <v>36607.471115687993</v>
      </c>
      <c r="K406" s="490"/>
    </row>
    <row r="407" spans="1:14" ht="16.2" thickBot="1" x14ac:dyDescent="0.35">
      <c r="A407" s="136" t="s">
        <v>1221</v>
      </c>
      <c r="B407" s="239" t="s">
        <v>1306</v>
      </c>
      <c r="C407" s="39">
        <v>40455</v>
      </c>
      <c r="D407" s="269" t="s">
        <v>1216</v>
      </c>
      <c r="E407" s="38">
        <f>'MEMÓRIA DE CÁLCULO'!J986</f>
        <v>7.8401462142857135</v>
      </c>
      <c r="F407" s="39" t="s">
        <v>1218</v>
      </c>
      <c r="G407" s="487">
        <v>1.32</v>
      </c>
      <c r="H407" s="488"/>
      <c r="I407" s="134">
        <v>0.2651</v>
      </c>
      <c r="J407" s="489">
        <f t="shared" ref="J407" si="43">(G407)*E407*(1+I407)</f>
        <v>13.09251104791457</v>
      </c>
      <c r="K407" s="490"/>
    </row>
    <row r="408" spans="1:14" ht="16.2" thickBot="1" x14ac:dyDescent="0.35">
      <c r="A408" s="505" t="s">
        <v>8</v>
      </c>
      <c r="B408" s="506"/>
      <c r="C408" s="506"/>
      <c r="D408" s="506"/>
      <c r="E408" s="506"/>
      <c r="F408" s="506"/>
      <c r="G408" s="506"/>
      <c r="H408" s="506"/>
      <c r="I408" s="506"/>
      <c r="J408" s="507"/>
      <c r="K408" s="267">
        <f>SUM(J393:K407)</f>
        <v>1251366.8193338977</v>
      </c>
    </row>
    <row r="409" spans="1:14" ht="16.2" thickBot="1" x14ac:dyDescent="0.35">
      <c r="A409" s="495" t="s">
        <v>1288</v>
      </c>
      <c r="B409" s="496"/>
      <c r="C409" s="496"/>
      <c r="D409" s="496"/>
      <c r="E409" s="496"/>
      <c r="F409" s="496"/>
      <c r="G409" s="496"/>
      <c r="H409" s="496"/>
      <c r="I409" s="496"/>
      <c r="J409" s="496"/>
      <c r="K409" s="497"/>
    </row>
    <row r="410" spans="1:14" ht="16.2" thickBot="1" x14ac:dyDescent="0.35">
      <c r="A410" s="136">
        <v>24</v>
      </c>
      <c r="B410" s="516" t="s">
        <v>1289</v>
      </c>
      <c r="C410" s="517"/>
      <c r="D410" s="208" t="s">
        <v>1238</v>
      </c>
      <c r="E410" s="35">
        <v>12</v>
      </c>
      <c r="F410" s="270" t="s">
        <v>1290</v>
      </c>
      <c r="G410" s="501">
        <f>COMPOSIÇÃO!F30</f>
        <v>47421.13</v>
      </c>
      <c r="H410" s="502">
        <v>26.64</v>
      </c>
      <c r="I410" s="134">
        <v>0.2651</v>
      </c>
      <c r="J410" s="493">
        <f t="shared" ref="J410" si="44">(G410)*E410*(1+I410)</f>
        <v>719909.65875599987</v>
      </c>
      <c r="K410" s="490"/>
    </row>
    <row r="411" spans="1:14" ht="16.2" thickBot="1" x14ac:dyDescent="0.35">
      <c r="A411" s="505" t="s">
        <v>8</v>
      </c>
      <c r="B411" s="506"/>
      <c r="C411" s="506"/>
      <c r="D411" s="506"/>
      <c r="E411" s="506"/>
      <c r="F411" s="506"/>
      <c r="G411" s="506"/>
      <c r="H411" s="506"/>
      <c r="I411" s="506"/>
      <c r="J411" s="507"/>
      <c r="K411" s="267">
        <f>SUM(J410)</f>
        <v>719909.65875599987</v>
      </c>
    </row>
    <row r="412" spans="1:14" ht="16.2" thickBot="1" x14ac:dyDescent="0.35">
      <c r="A412" s="495" t="s">
        <v>1291</v>
      </c>
      <c r="B412" s="496"/>
      <c r="C412" s="496"/>
      <c r="D412" s="496"/>
      <c r="E412" s="496"/>
      <c r="F412" s="496"/>
      <c r="G412" s="496"/>
      <c r="H412" s="496"/>
      <c r="I412" s="496"/>
      <c r="J412" s="496"/>
      <c r="K412" s="497"/>
    </row>
    <row r="413" spans="1:14" ht="16.2" thickBot="1" x14ac:dyDescent="0.35">
      <c r="A413" s="136">
        <v>25</v>
      </c>
      <c r="B413" s="516" t="s">
        <v>1292</v>
      </c>
      <c r="C413" s="517"/>
      <c r="D413" s="208" t="s">
        <v>1293</v>
      </c>
      <c r="E413" s="35">
        <v>1</v>
      </c>
      <c r="F413" s="36" t="s">
        <v>569</v>
      </c>
      <c r="G413" s="501">
        <f>COMPOSIÇÃO!F45</f>
        <v>80332.14499999999</v>
      </c>
      <c r="H413" s="502"/>
      <c r="I413" s="134">
        <v>0.2651</v>
      </c>
      <c r="J413" s="493">
        <f t="shared" ref="J413" si="45">(G413)*E413*(1+I413)</f>
        <v>101628.19663949998</v>
      </c>
      <c r="K413" s="490"/>
    </row>
    <row r="414" spans="1:14" ht="16.2" thickBot="1" x14ac:dyDescent="0.35">
      <c r="A414" s="505" t="s">
        <v>8</v>
      </c>
      <c r="B414" s="506"/>
      <c r="C414" s="506"/>
      <c r="D414" s="506"/>
      <c r="E414" s="506"/>
      <c r="F414" s="506"/>
      <c r="G414" s="506"/>
      <c r="H414" s="506"/>
      <c r="I414" s="506"/>
      <c r="J414" s="507"/>
      <c r="K414" s="267">
        <f>SUM(J413)</f>
        <v>101628.19663949998</v>
      </c>
    </row>
    <row r="415" spans="1:14" ht="16.2" thickBot="1" x14ac:dyDescent="0.35">
      <c r="A415" s="495" t="s">
        <v>1295</v>
      </c>
      <c r="B415" s="496"/>
      <c r="C415" s="496"/>
      <c r="D415" s="496"/>
      <c r="E415" s="496"/>
      <c r="F415" s="496"/>
      <c r="G415" s="496"/>
      <c r="H415" s="496"/>
      <c r="I415" s="496"/>
      <c r="J415" s="496"/>
      <c r="K415" s="497"/>
    </row>
    <row r="416" spans="1:14" ht="16.2" thickBot="1" x14ac:dyDescent="0.35">
      <c r="A416" s="136">
        <v>26</v>
      </c>
      <c r="B416" s="516" t="s">
        <v>1294</v>
      </c>
      <c r="C416" s="517"/>
      <c r="D416" s="208" t="s">
        <v>1261</v>
      </c>
      <c r="E416" s="35">
        <v>1</v>
      </c>
      <c r="F416" s="36" t="s">
        <v>569</v>
      </c>
      <c r="G416" s="501">
        <f>MOBILIZAÇÃO!I29</f>
        <v>81839.16</v>
      </c>
      <c r="H416" s="502"/>
      <c r="I416" s="134">
        <v>0.2651</v>
      </c>
      <c r="J416" s="493">
        <f t="shared" ref="J416" si="46">(G416)*E416*(1+I416)</f>
        <v>103534.721316</v>
      </c>
      <c r="K416" s="490"/>
    </row>
    <row r="417" spans="1:11" ht="16.2" thickBot="1" x14ac:dyDescent="0.35">
      <c r="A417" s="505" t="s">
        <v>8</v>
      </c>
      <c r="B417" s="506"/>
      <c r="C417" s="506"/>
      <c r="D417" s="506"/>
      <c r="E417" s="506"/>
      <c r="F417" s="506"/>
      <c r="G417" s="506"/>
      <c r="H417" s="506"/>
      <c r="I417" s="506"/>
      <c r="J417" s="507"/>
      <c r="K417" s="267">
        <f>SUM(J416)</f>
        <v>103534.721316</v>
      </c>
    </row>
    <row r="418" spans="1:11" ht="16.2" thickBot="1" x14ac:dyDescent="0.35">
      <c r="A418" s="374"/>
      <c r="B418" s="375"/>
      <c r="C418" s="375"/>
      <c r="D418" s="375"/>
      <c r="E418" s="375"/>
      <c r="F418" s="375"/>
      <c r="G418" s="375"/>
      <c r="H418" s="375"/>
      <c r="I418" s="375"/>
      <c r="J418" s="375"/>
      <c r="K418" s="267"/>
    </row>
    <row r="419" spans="1:11" ht="16.2" thickBot="1" x14ac:dyDescent="0.35">
      <c r="A419" s="510" t="s">
        <v>59</v>
      </c>
      <c r="B419" s="511"/>
      <c r="C419" s="511"/>
      <c r="D419" s="511"/>
      <c r="E419" s="511"/>
      <c r="F419" s="511"/>
      <c r="G419" s="511"/>
      <c r="H419" s="511"/>
      <c r="I419" s="512"/>
      <c r="J419" s="549">
        <f>K408+K390+K377+K364+K357+K348+K344+K337+K327+K322+K312+K305+K301+K295+K290+K286+K137+K60+K45+K30+K23+K18+K411+K414+K417</f>
        <v>9979636.3034169581</v>
      </c>
      <c r="K419" s="550"/>
    </row>
    <row r="420" spans="1:11" ht="14.4" x14ac:dyDescent="0.3">
      <c r="A420" s="74"/>
      <c r="B420" s="75"/>
      <c r="C420" s="75"/>
      <c r="D420" s="272"/>
      <c r="E420" s="8"/>
      <c r="F420" s="273"/>
      <c r="G420" s="78"/>
      <c r="H420" s="79"/>
      <c r="I420" s="128"/>
      <c r="J420" s="80"/>
      <c r="K420" s="274"/>
    </row>
    <row r="421" spans="1:11" ht="14.4" x14ac:dyDescent="0.3">
      <c r="A421" s="81"/>
      <c r="B421" s="450"/>
      <c r="C421" s="450"/>
      <c r="D421" s="461"/>
      <c r="E421" s="452"/>
      <c r="F421" s="478"/>
      <c r="G421" s="454"/>
      <c r="H421" s="458"/>
      <c r="I421" s="129"/>
      <c r="J421" s="84"/>
      <c r="K421" s="85"/>
    </row>
    <row r="422" spans="1:11" ht="14.4" x14ac:dyDescent="0.3">
      <c r="A422" s="81"/>
      <c r="B422" s="450"/>
      <c r="C422" s="450"/>
      <c r="D422" s="461"/>
      <c r="E422" s="452"/>
      <c r="F422" s="478"/>
      <c r="G422" s="452"/>
      <c r="H422" s="458"/>
      <c r="I422" s="129"/>
      <c r="J422" s="84"/>
      <c r="K422" s="85"/>
    </row>
    <row r="423" spans="1:11" ht="14.4" x14ac:dyDescent="0.3">
      <c r="A423" s="81"/>
      <c r="B423" s="450"/>
      <c r="C423" s="479"/>
      <c r="D423" s="461"/>
      <c r="E423" s="452"/>
      <c r="F423" s="480"/>
      <c r="G423" s="455"/>
      <c r="H423" s="458"/>
      <c r="I423" s="129"/>
      <c r="J423" s="84"/>
      <c r="K423" s="85"/>
    </row>
    <row r="424" spans="1:11" ht="15.6" customHeight="1" x14ac:dyDescent="0.3">
      <c r="A424" s="481" t="s">
        <v>753</v>
      </c>
      <c r="B424" s="482"/>
      <c r="C424" s="482"/>
      <c r="D424" s="482"/>
      <c r="E424" s="482"/>
      <c r="F424" s="482"/>
      <c r="G424" s="482"/>
      <c r="H424" s="482"/>
      <c r="I424" s="482"/>
      <c r="J424" s="482"/>
      <c r="K424" s="483"/>
    </row>
    <row r="425" spans="1:11" ht="15.6" customHeight="1" x14ac:dyDescent="0.3">
      <c r="A425" s="484" t="s">
        <v>1311</v>
      </c>
      <c r="B425" s="485"/>
      <c r="C425" s="485"/>
      <c r="D425" s="485"/>
      <c r="E425" s="485"/>
      <c r="F425" s="485"/>
      <c r="G425" s="485"/>
      <c r="H425" s="485"/>
      <c r="I425" s="485"/>
      <c r="J425" s="485"/>
      <c r="K425" s="486"/>
    </row>
    <row r="426" spans="1:11" ht="15.6" customHeight="1" x14ac:dyDescent="0.3">
      <c r="A426" s="484" t="s">
        <v>1312</v>
      </c>
      <c r="B426" s="485"/>
      <c r="C426" s="485"/>
      <c r="D426" s="485"/>
      <c r="E426" s="485"/>
      <c r="F426" s="485"/>
      <c r="G426" s="485"/>
      <c r="H426" s="485"/>
      <c r="I426" s="485"/>
      <c r="J426" s="485"/>
      <c r="K426" s="486"/>
    </row>
    <row r="427" spans="1:11" ht="14.4" x14ac:dyDescent="0.3">
      <c r="A427" s="81"/>
      <c r="B427" s="479"/>
      <c r="C427" s="450"/>
      <c r="D427" s="485"/>
      <c r="E427" s="485"/>
      <c r="F427" s="485"/>
      <c r="G427" s="485"/>
      <c r="H427" s="468"/>
      <c r="I427" s="130"/>
      <c r="J427" s="89"/>
      <c r="K427" s="90"/>
    </row>
    <row r="428" spans="1:11" ht="14.4" x14ac:dyDescent="0.3">
      <c r="A428" s="81"/>
      <c r="B428" s="479"/>
      <c r="C428" s="450"/>
      <c r="D428" s="461"/>
      <c r="E428" s="461"/>
      <c r="F428" s="461"/>
      <c r="G428" s="461"/>
      <c r="H428" s="468"/>
      <c r="I428" s="130"/>
      <c r="J428" s="89"/>
      <c r="K428" s="90"/>
    </row>
    <row r="429" spans="1:11" ht="14.4" x14ac:dyDescent="0.3">
      <c r="A429" s="91"/>
      <c r="B429" s="479"/>
      <c r="C429" s="479"/>
      <c r="D429" s="461"/>
      <c r="E429" s="452"/>
      <c r="F429" s="480"/>
      <c r="G429" s="455"/>
      <c r="H429" s="455"/>
      <c r="I429" s="131"/>
      <c r="J429" s="92"/>
      <c r="K429" s="90"/>
    </row>
    <row r="430" spans="1:11" ht="15" thickBot="1" x14ac:dyDescent="0.35">
      <c r="A430" s="93"/>
      <c r="B430" s="143"/>
      <c r="C430" s="143"/>
      <c r="D430" s="164"/>
      <c r="E430" s="94"/>
      <c r="F430" s="145"/>
      <c r="G430" s="94"/>
      <c r="H430" s="94"/>
      <c r="I430" s="132"/>
      <c r="J430" s="97"/>
      <c r="K430" s="98"/>
    </row>
  </sheetData>
  <sheetProtection selectLockedCells="1"/>
  <mergeCells count="453">
    <mergeCell ref="A414:J414"/>
    <mergeCell ref="A415:K415"/>
    <mergeCell ref="B416:C416"/>
    <mergeCell ref="G416:H416"/>
    <mergeCell ref="J416:K416"/>
    <mergeCell ref="A417:J417"/>
    <mergeCell ref="A12:K12"/>
    <mergeCell ref="A409:K409"/>
    <mergeCell ref="G410:H410"/>
    <mergeCell ref="J410:K410"/>
    <mergeCell ref="B410:C410"/>
    <mergeCell ref="A412:K412"/>
    <mergeCell ref="B413:C413"/>
    <mergeCell ref="G413:H413"/>
    <mergeCell ref="J413:K413"/>
    <mergeCell ref="A411:J411"/>
    <mergeCell ref="J120:K120"/>
    <mergeCell ref="A358:K358"/>
    <mergeCell ref="J55:K55"/>
    <mergeCell ref="J56:K56"/>
    <mergeCell ref="J57:K57"/>
    <mergeCell ref="J51:K51"/>
    <mergeCell ref="J132:K132"/>
    <mergeCell ref="J321:K321"/>
    <mergeCell ref="J264:K264"/>
    <mergeCell ref="J265:K265"/>
    <mergeCell ref="J156:K156"/>
    <mergeCell ref="J157:K157"/>
    <mergeCell ref="J158:K158"/>
    <mergeCell ref="J154:K154"/>
    <mergeCell ref="J193:K193"/>
    <mergeCell ref="J211:K211"/>
    <mergeCell ref="J213:K213"/>
    <mergeCell ref="J212:K212"/>
    <mergeCell ref="J197:K197"/>
    <mergeCell ref="J187:K187"/>
    <mergeCell ref="J161:K161"/>
    <mergeCell ref="J166:K166"/>
    <mergeCell ref="J155:K155"/>
    <mergeCell ref="J209:K209"/>
    <mergeCell ref="J159:K159"/>
    <mergeCell ref="J196:K196"/>
    <mergeCell ref="J194:K194"/>
    <mergeCell ref="J222:K222"/>
    <mergeCell ref="J261:K261"/>
    <mergeCell ref="J262:K262"/>
    <mergeCell ref="J247:K247"/>
    <mergeCell ref="J246:K246"/>
    <mergeCell ref="J203:K203"/>
    <mergeCell ref="J226:K226"/>
    <mergeCell ref="J263:K263"/>
    <mergeCell ref="J199:K199"/>
    <mergeCell ref="J191:K191"/>
    <mergeCell ref="J308:K308"/>
    <mergeCell ref="J169:K169"/>
    <mergeCell ref="G310:H310"/>
    <mergeCell ref="J223:K223"/>
    <mergeCell ref="J216:K216"/>
    <mergeCell ref="J217:K217"/>
    <mergeCell ref="J218:K218"/>
    <mergeCell ref="J225:K225"/>
    <mergeCell ref="J227:K227"/>
    <mergeCell ref="J235:K235"/>
    <mergeCell ref="J236:K236"/>
    <mergeCell ref="J244:K244"/>
    <mergeCell ref="J245:K245"/>
    <mergeCell ref="J283:K283"/>
    <mergeCell ref="J215:K215"/>
    <mergeCell ref="J289:K289"/>
    <mergeCell ref="J195:K195"/>
    <mergeCell ref="J210:K210"/>
    <mergeCell ref="J214:K214"/>
    <mergeCell ref="J176:K176"/>
    <mergeCell ref="J177:K177"/>
    <mergeCell ref="J179:K179"/>
    <mergeCell ref="G59:H59"/>
    <mergeCell ref="J59:K59"/>
    <mergeCell ref="G136:H136"/>
    <mergeCell ref="A61:K61"/>
    <mergeCell ref="D62:K62"/>
    <mergeCell ref="J94:K94"/>
    <mergeCell ref="J111:K111"/>
    <mergeCell ref="J112:K112"/>
    <mergeCell ref="J107:K107"/>
    <mergeCell ref="J109:K109"/>
    <mergeCell ref="J116:K116"/>
    <mergeCell ref="J90:K90"/>
    <mergeCell ref="J103:K103"/>
    <mergeCell ref="J105:K105"/>
    <mergeCell ref="J88:K88"/>
    <mergeCell ref="J76:K76"/>
    <mergeCell ref="J77:K77"/>
    <mergeCell ref="J136:K136"/>
    <mergeCell ref="J110:K110"/>
    <mergeCell ref="J133:K133"/>
    <mergeCell ref="J134:K134"/>
    <mergeCell ref="J135:K135"/>
    <mergeCell ref="J87:K87"/>
    <mergeCell ref="J84:K84"/>
    <mergeCell ref="J97:K97"/>
    <mergeCell ref="J98:K98"/>
    <mergeCell ref="J119:K119"/>
    <mergeCell ref="A137:J137"/>
    <mergeCell ref="J147:K147"/>
    <mergeCell ref="J149:K149"/>
    <mergeCell ref="J151:K151"/>
    <mergeCell ref="J152:K152"/>
    <mergeCell ref="J153:K153"/>
    <mergeCell ref="J142:K142"/>
    <mergeCell ref="J148:K148"/>
    <mergeCell ref="J144:K144"/>
    <mergeCell ref="J143:K143"/>
    <mergeCell ref="A138:K138"/>
    <mergeCell ref="D139:K139"/>
    <mergeCell ref="J145:K145"/>
    <mergeCell ref="J146:K146"/>
    <mergeCell ref="J150:K150"/>
    <mergeCell ref="J394:K394"/>
    <mergeCell ref="J382:K382"/>
    <mergeCell ref="J383:K383"/>
    <mergeCell ref="J79:K79"/>
    <mergeCell ref="J100:K100"/>
    <mergeCell ref="J93:K93"/>
    <mergeCell ref="J72:K72"/>
    <mergeCell ref="J73:K73"/>
    <mergeCell ref="J89:K89"/>
    <mergeCell ref="J131:K131"/>
    <mergeCell ref="J318:K318"/>
    <mergeCell ref="J91:K91"/>
    <mergeCell ref="J113:K113"/>
    <mergeCell ref="J114:K114"/>
    <mergeCell ref="J92:K92"/>
    <mergeCell ref="J164:K164"/>
    <mergeCell ref="J165:K165"/>
    <mergeCell ref="J185:K185"/>
    <mergeCell ref="J186:K186"/>
    <mergeCell ref="J167:K167"/>
    <mergeCell ref="J219:K219"/>
    <mergeCell ref="J224:K224"/>
    <mergeCell ref="J95:K95"/>
    <mergeCell ref="J96:K96"/>
    <mergeCell ref="J42:K42"/>
    <mergeCell ref="J36:K36"/>
    <mergeCell ref="J39:K39"/>
    <mergeCell ref="J50:K50"/>
    <mergeCell ref="J52:K52"/>
    <mergeCell ref="J53:K53"/>
    <mergeCell ref="J419:K419"/>
    <mergeCell ref="D359:K359"/>
    <mergeCell ref="A365:K365"/>
    <mergeCell ref="D366:K366"/>
    <mergeCell ref="A378:K378"/>
    <mergeCell ref="D379:K379"/>
    <mergeCell ref="A345:K345"/>
    <mergeCell ref="D346:K346"/>
    <mergeCell ref="J360:K360"/>
    <mergeCell ref="J361:K361"/>
    <mergeCell ref="J374:K374"/>
    <mergeCell ref="A349:K349"/>
    <mergeCell ref="D350:K350"/>
    <mergeCell ref="J375:K375"/>
    <mergeCell ref="J373:K373"/>
    <mergeCell ref="J372:K372"/>
    <mergeCell ref="J351:K351"/>
    <mergeCell ref="J353:K353"/>
    <mergeCell ref="A1:K1"/>
    <mergeCell ref="A2:K2"/>
    <mergeCell ref="A3:K3"/>
    <mergeCell ref="A6:K6"/>
    <mergeCell ref="B13:C13"/>
    <mergeCell ref="A14:K14"/>
    <mergeCell ref="D15:K15"/>
    <mergeCell ref="A4:K4"/>
    <mergeCell ref="A5:K5"/>
    <mergeCell ref="A8:K8"/>
    <mergeCell ref="J13:K13"/>
    <mergeCell ref="A7:K7"/>
    <mergeCell ref="J86:K86"/>
    <mergeCell ref="J69:K69"/>
    <mergeCell ref="J66:K66"/>
    <mergeCell ref="J70:K70"/>
    <mergeCell ref="J82:K82"/>
    <mergeCell ref="J83:K83"/>
    <mergeCell ref="J80:K80"/>
    <mergeCell ref="J75:K75"/>
    <mergeCell ref="J16:K16"/>
    <mergeCell ref="J21:K21"/>
    <mergeCell ref="A19:K19"/>
    <mergeCell ref="D20:K20"/>
    <mergeCell ref="J17:K17"/>
    <mergeCell ref="A18:J18"/>
    <mergeCell ref="J34:K34"/>
    <mergeCell ref="J38:K38"/>
    <mergeCell ref="J41:K41"/>
    <mergeCell ref="A46:K46"/>
    <mergeCell ref="D47:K47"/>
    <mergeCell ref="J40:K40"/>
    <mergeCell ref="J48:K48"/>
    <mergeCell ref="J49:K49"/>
    <mergeCell ref="J54:K54"/>
    <mergeCell ref="J43:K43"/>
    <mergeCell ref="J99:K99"/>
    <mergeCell ref="J102:K102"/>
    <mergeCell ref="J117:K117"/>
    <mergeCell ref="J108:K108"/>
    <mergeCell ref="J115:K115"/>
    <mergeCell ref="J101:K101"/>
    <mergeCell ref="J104:K104"/>
    <mergeCell ref="J106:K106"/>
    <mergeCell ref="J122:K122"/>
    <mergeCell ref="J121:K121"/>
    <mergeCell ref="A23:J23"/>
    <mergeCell ref="J22:K22"/>
    <mergeCell ref="J205:K205"/>
    <mergeCell ref="J206:K206"/>
    <mergeCell ref="J207:K207"/>
    <mergeCell ref="J208:K208"/>
    <mergeCell ref="J189:K189"/>
    <mergeCell ref="J190:K190"/>
    <mergeCell ref="J192:K192"/>
    <mergeCell ref="J173:K173"/>
    <mergeCell ref="J175:K175"/>
    <mergeCell ref="J170:K170"/>
    <mergeCell ref="J171:K171"/>
    <mergeCell ref="J172:K172"/>
    <mergeCell ref="J200:K200"/>
    <mergeCell ref="J201:K201"/>
    <mergeCell ref="J202:K202"/>
    <mergeCell ref="J204:K204"/>
    <mergeCell ref="J180:K180"/>
    <mergeCell ref="J181:K181"/>
    <mergeCell ref="J183:K183"/>
    <mergeCell ref="J26:K26"/>
    <mergeCell ref="A60:J60"/>
    <mergeCell ref="A24:K24"/>
    <mergeCell ref="D25:K25"/>
    <mergeCell ref="A30:J30"/>
    <mergeCell ref="J64:K64"/>
    <mergeCell ref="J81:K81"/>
    <mergeCell ref="J85:K85"/>
    <mergeCell ref="J33:K33"/>
    <mergeCell ref="J29:K29"/>
    <mergeCell ref="A31:K31"/>
    <mergeCell ref="D32:K32"/>
    <mergeCell ref="J27:K27"/>
    <mergeCell ref="J28:K28"/>
    <mergeCell ref="J67:K67"/>
    <mergeCell ref="J68:K68"/>
    <mergeCell ref="J65:K65"/>
    <mergeCell ref="J78:K78"/>
    <mergeCell ref="J74:K74"/>
    <mergeCell ref="G26:H26"/>
    <mergeCell ref="J63:K63"/>
    <mergeCell ref="J71:K71"/>
    <mergeCell ref="J58:K58"/>
    <mergeCell ref="J44:K44"/>
    <mergeCell ref="A45:J45"/>
    <mergeCell ref="J35:K35"/>
    <mergeCell ref="J37:K37"/>
    <mergeCell ref="J282:K282"/>
    <mergeCell ref="J273:K273"/>
    <mergeCell ref="J274:K274"/>
    <mergeCell ref="G282:H282"/>
    <mergeCell ref="J293:K293"/>
    <mergeCell ref="J294:K294"/>
    <mergeCell ref="D292:K292"/>
    <mergeCell ref="D288:K288"/>
    <mergeCell ref="G283:H283"/>
    <mergeCell ref="A291:K291"/>
    <mergeCell ref="A290:J290"/>
    <mergeCell ref="B311:C311"/>
    <mergeCell ref="J311:K311"/>
    <mergeCell ref="J342:K342"/>
    <mergeCell ref="D314:K314"/>
    <mergeCell ref="A295:J295"/>
    <mergeCell ref="A301:J301"/>
    <mergeCell ref="J298:K298"/>
    <mergeCell ref="J299:K299"/>
    <mergeCell ref="J304:K304"/>
    <mergeCell ref="G311:H311"/>
    <mergeCell ref="J309:K309"/>
    <mergeCell ref="J310:K310"/>
    <mergeCell ref="J300:K300"/>
    <mergeCell ref="A313:K313"/>
    <mergeCell ref="J331:K331"/>
    <mergeCell ref="J332:K332"/>
    <mergeCell ref="A328:K328"/>
    <mergeCell ref="D329:K329"/>
    <mergeCell ref="D339:K339"/>
    <mergeCell ref="J326:K326"/>
    <mergeCell ref="J316:K316"/>
    <mergeCell ref="A302:K302"/>
    <mergeCell ref="D303:K303"/>
    <mergeCell ref="J317:K317"/>
    <mergeCell ref="J369:K369"/>
    <mergeCell ref="J356:K356"/>
    <mergeCell ref="J347:K347"/>
    <mergeCell ref="J340:K340"/>
    <mergeCell ref="J343:K343"/>
    <mergeCell ref="A344:J344"/>
    <mergeCell ref="J330:K330"/>
    <mergeCell ref="J320:K320"/>
    <mergeCell ref="J333:K333"/>
    <mergeCell ref="J335:K335"/>
    <mergeCell ref="J336:K336"/>
    <mergeCell ref="A338:K338"/>
    <mergeCell ref="J354:K354"/>
    <mergeCell ref="J355:K355"/>
    <mergeCell ref="J352:K352"/>
    <mergeCell ref="A408:J408"/>
    <mergeCell ref="A390:J390"/>
    <mergeCell ref="A377:J377"/>
    <mergeCell ref="A364:J364"/>
    <mergeCell ref="A357:J357"/>
    <mergeCell ref="J272:K272"/>
    <mergeCell ref="J269:K269"/>
    <mergeCell ref="G284:H284"/>
    <mergeCell ref="J284:K284"/>
    <mergeCell ref="G277:H277"/>
    <mergeCell ref="J319:K319"/>
    <mergeCell ref="J285:K285"/>
    <mergeCell ref="G278:H278"/>
    <mergeCell ref="J279:K279"/>
    <mergeCell ref="J381:K381"/>
    <mergeCell ref="J325:K325"/>
    <mergeCell ref="A323:K323"/>
    <mergeCell ref="D324:K324"/>
    <mergeCell ref="G281:H281"/>
    <mergeCell ref="J281:K281"/>
    <mergeCell ref="J334:K334"/>
    <mergeCell ref="J367:K367"/>
    <mergeCell ref="J368:K368"/>
    <mergeCell ref="A287:K287"/>
    <mergeCell ref="J123:K123"/>
    <mergeCell ref="J124:K124"/>
    <mergeCell ref="J125:K125"/>
    <mergeCell ref="J126:K126"/>
    <mergeCell ref="A419:I419"/>
    <mergeCell ref="A337:J337"/>
    <mergeCell ref="A327:J327"/>
    <mergeCell ref="A322:J322"/>
    <mergeCell ref="A312:J312"/>
    <mergeCell ref="A305:J305"/>
    <mergeCell ref="J388:K388"/>
    <mergeCell ref="G396:H396"/>
    <mergeCell ref="G397:H397"/>
    <mergeCell ref="G400:H400"/>
    <mergeCell ref="G401:H401"/>
    <mergeCell ref="G405:H405"/>
    <mergeCell ref="G402:H402"/>
    <mergeCell ref="G404:H404"/>
    <mergeCell ref="J404:K404"/>
    <mergeCell ref="J370:K370"/>
    <mergeCell ref="J371:K371"/>
    <mergeCell ref="J229:K229"/>
    <mergeCell ref="J241:K241"/>
    <mergeCell ref="A286:J286"/>
    <mergeCell ref="J129:K129"/>
    <mergeCell ref="G280:H280"/>
    <mergeCell ref="J280:K280"/>
    <mergeCell ref="J275:K275"/>
    <mergeCell ref="J276:K276"/>
    <mergeCell ref="J228:K228"/>
    <mergeCell ref="J249:K249"/>
    <mergeCell ref="J253:K253"/>
    <mergeCell ref="J267:K267"/>
    <mergeCell ref="J271:K271"/>
    <mergeCell ref="J184:K184"/>
    <mergeCell ref="J198:K198"/>
    <mergeCell ref="J243:K243"/>
    <mergeCell ref="J242:K242"/>
    <mergeCell ref="J232:K232"/>
    <mergeCell ref="J233:K233"/>
    <mergeCell ref="J234:K234"/>
    <mergeCell ref="G279:H279"/>
    <mergeCell ref="J278:K278"/>
    <mergeCell ref="J163:K163"/>
    <mergeCell ref="J168:K168"/>
    <mergeCell ref="J188:K188"/>
    <mergeCell ref="J178:K178"/>
    <mergeCell ref="J182:K182"/>
    <mergeCell ref="D307:K307"/>
    <mergeCell ref="J315:K315"/>
    <mergeCell ref="J128:K128"/>
    <mergeCell ref="J118:K118"/>
    <mergeCell ref="J127:K127"/>
    <mergeCell ref="D427:G427"/>
    <mergeCell ref="J160:K160"/>
    <mergeCell ref="J385:K385"/>
    <mergeCell ref="J162:K162"/>
    <mergeCell ref="J174:K174"/>
    <mergeCell ref="J250:K250"/>
    <mergeCell ref="J251:K251"/>
    <mergeCell ref="J252:K252"/>
    <mergeCell ref="J254:K254"/>
    <mergeCell ref="J266:K266"/>
    <mergeCell ref="J256:K256"/>
    <mergeCell ref="J257:K257"/>
    <mergeCell ref="J258:K258"/>
    <mergeCell ref="J259:K259"/>
    <mergeCell ref="J255:K255"/>
    <mergeCell ref="J237:K237"/>
    <mergeCell ref="J277:K277"/>
    <mergeCell ref="J248:K248"/>
    <mergeCell ref="J130:K130"/>
    <mergeCell ref="G393:H393"/>
    <mergeCell ref="J393:K393"/>
    <mergeCell ref="J380:K380"/>
    <mergeCell ref="J341:K341"/>
    <mergeCell ref="G394:H394"/>
    <mergeCell ref="J220:K220"/>
    <mergeCell ref="J221:K221"/>
    <mergeCell ref="J270:K270"/>
    <mergeCell ref="J268:K268"/>
    <mergeCell ref="J362:K362"/>
    <mergeCell ref="J363:K363"/>
    <mergeCell ref="J389:K389"/>
    <mergeCell ref="A348:J348"/>
    <mergeCell ref="J384:K384"/>
    <mergeCell ref="J386:K386"/>
    <mergeCell ref="J387:K387"/>
    <mergeCell ref="D297:K297"/>
    <mergeCell ref="J230:K230"/>
    <mergeCell ref="J231:K231"/>
    <mergeCell ref="J239:K239"/>
    <mergeCell ref="J240:K240"/>
    <mergeCell ref="J238:K238"/>
    <mergeCell ref="A296:K296"/>
    <mergeCell ref="A306:K306"/>
    <mergeCell ref="A424:K424"/>
    <mergeCell ref="A425:K425"/>
    <mergeCell ref="A426:K426"/>
    <mergeCell ref="G407:H407"/>
    <mergeCell ref="J407:K407"/>
    <mergeCell ref="G403:H403"/>
    <mergeCell ref="J403:K403"/>
    <mergeCell ref="J376:K376"/>
    <mergeCell ref="G406:H406"/>
    <mergeCell ref="J406:K406"/>
    <mergeCell ref="G398:H398"/>
    <mergeCell ref="J398:K398"/>
    <mergeCell ref="G399:H399"/>
    <mergeCell ref="J399:K399"/>
    <mergeCell ref="J405:K405"/>
    <mergeCell ref="A391:K391"/>
    <mergeCell ref="D392:K392"/>
    <mergeCell ref="J395:K395"/>
    <mergeCell ref="J396:K396"/>
    <mergeCell ref="J397:K397"/>
    <mergeCell ref="J400:K400"/>
    <mergeCell ref="J401:K401"/>
    <mergeCell ref="J402:K402"/>
    <mergeCell ref="G395:H395"/>
  </mergeCells>
  <phoneticPr fontId="14" type="noConversion"/>
  <pageMargins left="0.2" right="0.09" top="0.28000000000000003" bottom="0.2" header="0.17" footer="0.31496062992125984"/>
  <pageSetup paperSize="9" scale="51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3"/>
  <sheetViews>
    <sheetView topLeftCell="A966" zoomScale="85" zoomScaleNormal="85" workbookViewId="0">
      <selection activeCell="A992" sqref="A992:J992"/>
    </sheetView>
  </sheetViews>
  <sheetFormatPr defaultColWidth="8.88671875" defaultRowHeight="14.4" x14ac:dyDescent="0.3"/>
  <cols>
    <col min="1" max="1" width="5.5546875" style="70" bestFit="1" customWidth="1"/>
    <col min="2" max="2" width="14.88671875" style="69" bestFit="1" customWidth="1"/>
    <col min="3" max="3" width="7" style="70" bestFit="1" customWidth="1"/>
    <col min="4" max="4" width="95" style="71" bestFit="1" customWidth="1"/>
    <col min="5" max="5" width="7.33203125" style="70" bestFit="1" customWidth="1"/>
    <col min="6" max="6" width="11.44140625" style="157" bestFit="1" customWidth="1"/>
    <col min="7" max="7" width="19.33203125" style="157" bestFit="1" customWidth="1"/>
    <col min="8" max="8" width="14.5546875" style="72" bestFit="1" customWidth="1"/>
    <col min="9" max="9" width="17" style="72" bestFit="1" customWidth="1"/>
    <col min="10" max="10" width="10.88671875" style="72" customWidth="1"/>
    <col min="12" max="12" width="8" bestFit="1" customWidth="1"/>
    <col min="13" max="13" width="7" bestFit="1" customWidth="1"/>
  </cols>
  <sheetData>
    <row r="1" spans="1:10" x14ac:dyDescent="0.3">
      <c r="A1" s="663" t="s">
        <v>0</v>
      </c>
      <c r="B1" s="664"/>
      <c r="C1" s="664"/>
      <c r="D1" s="664"/>
      <c r="E1" s="664"/>
      <c r="F1" s="664"/>
      <c r="G1" s="664"/>
      <c r="H1" s="664"/>
      <c r="I1" s="664"/>
      <c r="J1" s="665"/>
    </row>
    <row r="2" spans="1:10" x14ac:dyDescent="0.3">
      <c r="A2" s="635" t="s">
        <v>1310</v>
      </c>
      <c r="B2" s="636"/>
      <c r="C2" s="636"/>
      <c r="D2" s="636"/>
      <c r="E2" s="636"/>
      <c r="F2" s="636"/>
      <c r="G2" s="636"/>
      <c r="H2" s="636"/>
      <c r="I2" s="636"/>
      <c r="J2" s="637"/>
    </row>
    <row r="3" spans="1:10" x14ac:dyDescent="0.3">
      <c r="A3" s="635" t="s">
        <v>1229</v>
      </c>
      <c r="B3" s="636"/>
      <c r="C3" s="636"/>
      <c r="D3" s="636"/>
      <c r="E3" s="636"/>
      <c r="F3" s="636"/>
      <c r="G3" s="636"/>
      <c r="H3" s="636"/>
      <c r="I3" s="636"/>
      <c r="J3" s="637"/>
    </row>
    <row r="4" spans="1:10" x14ac:dyDescent="0.3">
      <c r="A4" s="635" t="str">
        <f>ORÇAMENTO!A4</f>
        <v>ARCO VIÁRIO, KM 2, ZONA RURAL, CATALÃO - GO</v>
      </c>
      <c r="B4" s="636"/>
      <c r="C4" s="636"/>
      <c r="D4" s="636"/>
      <c r="E4" s="636"/>
      <c r="F4" s="636"/>
      <c r="G4" s="636"/>
      <c r="H4" s="636"/>
      <c r="I4" s="636"/>
      <c r="J4" s="637"/>
    </row>
    <row r="5" spans="1:10" x14ac:dyDescent="0.3">
      <c r="A5" s="635" t="str">
        <f>ORÇAMENTO!A5</f>
        <v>GOINFRA - TABELA 174 - CUSTOS DE OBRAS CIVIS - JUL/2022 - COM DESENERAÇÃO</v>
      </c>
      <c r="B5" s="636"/>
      <c r="C5" s="636"/>
      <c r="D5" s="636"/>
      <c r="E5" s="636"/>
      <c r="F5" s="636"/>
      <c r="G5" s="636"/>
      <c r="H5" s="636"/>
      <c r="I5" s="636"/>
      <c r="J5" s="637"/>
    </row>
    <row r="6" spans="1:10" x14ac:dyDescent="0.3">
      <c r="A6" s="635" t="str">
        <f>ORÇAMENTO!A6</f>
        <v>SINAPI - JUL/2022 - COMPOSIÇÃO SINTÉTICA - DESONERADA</v>
      </c>
      <c r="B6" s="636"/>
      <c r="C6" s="636"/>
      <c r="D6" s="636"/>
      <c r="E6" s="636"/>
      <c r="F6" s="636"/>
      <c r="G6" s="636"/>
      <c r="H6" s="636"/>
      <c r="I6" s="636"/>
      <c r="J6" s="637"/>
    </row>
    <row r="7" spans="1:10" x14ac:dyDescent="0.3">
      <c r="A7" s="635" t="str">
        <f>ORÇAMENTO!A7</f>
        <v>SINAPI - JUL/2022 - PREÇO DE INSUMOS - DESONERADA</v>
      </c>
      <c r="B7" s="636"/>
      <c r="C7" s="636"/>
      <c r="D7" s="636"/>
      <c r="E7" s="636"/>
      <c r="F7" s="636"/>
      <c r="G7" s="636"/>
      <c r="H7" s="636"/>
      <c r="I7" s="636"/>
      <c r="J7" s="637"/>
    </row>
    <row r="8" spans="1:10" x14ac:dyDescent="0.3">
      <c r="A8" s="635" t="str">
        <f>ORÇAMENTO!A8</f>
        <v>GOINFRA - TABELA T77 - TERRAPLENAGEM, PAVIMENTAÇÃO E OBRAS DE ARTE ESPECIAIS - JUL/22 - COM DESONERAÇÃO</v>
      </c>
      <c r="B8" s="636"/>
      <c r="C8" s="636"/>
      <c r="D8" s="636"/>
      <c r="E8" s="636"/>
      <c r="F8" s="636"/>
      <c r="G8" s="636"/>
      <c r="H8" s="636"/>
      <c r="I8" s="636"/>
      <c r="J8" s="637"/>
    </row>
    <row r="9" spans="1:10" x14ac:dyDescent="0.3">
      <c r="A9" s="635"/>
      <c r="B9" s="636"/>
      <c r="C9" s="636"/>
      <c r="D9" s="636"/>
      <c r="E9" s="636"/>
      <c r="F9" s="636"/>
      <c r="G9" s="636"/>
      <c r="H9" s="636"/>
      <c r="I9" s="636"/>
      <c r="J9" s="637"/>
    </row>
    <row r="10" spans="1:10" ht="15" thickBot="1" x14ac:dyDescent="0.35">
      <c r="A10" s="666" t="str">
        <f>ORÇAMENTO!A12</f>
        <v>CATALÃO 20/07/2022</v>
      </c>
      <c r="B10" s="667"/>
      <c r="C10" s="667"/>
      <c r="D10" s="667"/>
      <c r="E10" s="667"/>
      <c r="F10" s="667"/>
      <c r="G10" s="667"/>
      <c r="H10" s="667"/>
      <c r="I10" s="667"/>
      <c r="J10" s="668"/>
    </row>
    <row r="11" spans="1:10" ht="15" thickBot="1" x14ac:dyDescent="0.35">
      <c r="A11" s="51" t="s">
        <v>1</v>
      </c>
      <c r="B11" s="638" t="s">
        <v>2</v>
      </c>
      <c r="C11" s="639"/>
      <c r="D11" s="50" t="s">
        <v>3</v>
      </c>
      <c r="E11" s="51" t="s">
        <v>5</v>
      </c>
      <c r="F11" s="645" t="s">
        <v>60</v>
      </c>
      <c r="G11" s="646"/>
      <c r="H11" s="646"/>
      <c r="I11" s="646"/>
      <c r="J11" s="647"/>
    </row>
    <row r="12" spans="1:10" ht="15" thickBot="1" x14ac:dyDescent="0.35">
      <c r="A12" s="640" t="s">
        <v>10</v>
      </c>
      <c r="B12" s="641"/>
      <c r="C12" s="641"/>
      <c r="D12" s="641"/>
      <c r="E12" s="641"/>
      <c r="F12" s="641"/>
      <c r="G12" s="641"/>
      <c r="H12" s="641"/>
      <c r="I12" s="641"/>
      <c r="J12" s="642"/>
    </row>
    <row r="13" spans="1:10" x14ac:dyDescent="0.3">
      <c r="A13" s="162">
        <v>1</v>
      </c>
      <c r="B13" s="58" t="s">
        <v>11</v>
      </c>
      <c r="C13" s="54">
        <v>20000</v>
      </c>
      <c r="D13" s="624" t="s">
        <v>12</v>
      </c>
      <c r="E13" s="625"/>
      <c r="F13" s="625"/>
      <c r="G13" s="625"/>
      <c r="H13" s="625"/>
      <c r="I13" s="625"/>
      <c r="J13" s="61"/>
    </row>
    <row r="14" spans="1:10" x14ac:dyDescent="0.3">
      <c r="A14" s="119" t="str">
        <f>ORÇAMENTO!A16</f>
        <v>1.1</v>
      </c>
      <c r="B14" s="12" t="str">
        <f>ORÇAMENTO!B16</f>
        <v>GOINFRA</v>
      </c>
      <c r="C14" s="13">
        <f>ORÇAMENTO!C16</f>
        <v>20190</v>
      </c>
      <c r="D14" s="52" t="str">
        <f>ORÇAMENTO!D16</f>
        <v xml:space="preserve">LIMPEZA MECANICA DE TERRENO </v>
      </c>
      <c r="E14" s="13" t="str">
        <f>ORÇAMENTO!F16</f>
        <v xml:space="preserve">m2 </v>
      </c>
      <c r="F14" s="579" t="s">
        <v>66</v>
      </c>
      <c r="G14" s="580"/>
      <c r="H14" s="580"/>
      <c r="I14" s="580"/>
      <c r="J14" s="593"/>
    </row>
    <row r="15" spans="1:10" x14ac:dyDescent="0.3">
      <c r="A15" s="119"/>
      <c r="B15" s="12"/>
      <c r="C15" s="13"/>
      <c r="D15" s="52" t="s">
        <v>68</v>
      </c>
      <c r="E15" s="13"/>
      <c r="F15" s="579">
        <v>17056.310000000001</v>
      </c>
      <c r="G15" s="580"/>
      <c r="H15" s="580"/>
      <c r="I15" s="580"/>
      <c r="J15" s="593"/>
    </row>
    <row r="16" spans="1:10" ht="15" thickBot="1" x14ac:dyDescent="0.35">
      <c r="A16" s="559" t="s">
        <v>58</v>
      </c>
      <c r="B16" s="560"/>
      <c r="C16" s="560"/>
      <c r="D16" s="560"/>
      <c r="E16" s="560"/>
      <c r="F16" s="560"/>
      <c r="G16" s="560"/>
      <c r="H16" s="560"/>
      <c r="I16" s="561"/>
      <c r="J16" s="308">
        <f>F15</f>
        <v>17056.310000000001</v>
      </c>
    </row>
    <row r="17" spans="1:10" ht="28.8" x14ac:dyDescent="0.3">
      <c r="A17" s="215" t="str">
        <f>ORÇAMENTO!A17</f>
        <v>1.4</v>
      </c>
      <c r="B17" s="216" t="str">
        <f>ORÇAMENTO!B17</f>
        <v>GOINFRA</v>
      </c>
      <c r="C17" s="216">
        <f>ORÇAMENTO!C17</f>
        <v>20107</v>
      </c>
      <c r="D17" s="219" t="str">
        <f>ORÇAMENTO!D17</f>
        <v>CORTE/DESTOC./RETIRADA/REATERRO (MANUAIS) DE ÁRVORE GRANDE PORTE ( H = 8 A 10M / DIÂMETRO TRONCO 60 A 70CM E COPA DE 10 A 13M ) C/TRANSP.ATE C.B.E CARGA</v>
      </c>
      <c r="E17" s="216" t="str">
        <f>ORÇAMENTO!F17</f>
        <v>und.</v>
      </c>
      <c r="F17" s="570" t="s">
        <v>67</v>
      </c>
      <c r="G17" s="594"/>
      <c r="H17" s="594"/>
      <c r="I17" s="594"/>
      <c r="J17" s="669"/>
    </row>
    <row r="18" spans="1:10" x14ac:dyDescent="0.3">
      <c r="A18" s="119"/>
      <c r="B18" s="12"/>
      <c r="C18" s="13"/>
      <c r="D18" s="52" t="s">
        <v>564</v>
      </c>
      <c r="E18" s="13"/>
      <c r="F18" s="579">
        <v>2</v>
      </c>
      <c r="G18" s="580"/>
      <c r="H18" s="580"/>
      <c r="I18" s="580"/>
      <c r="J18" s="593"/>
    </row>
    <row r="19" spans="1:10" ht="15" thickBot="1" x14ac:dyDescent="0.35">
      <c r="A19" s="559" t="s">
        <v>58</v>
      </c>
      <c r="B19" s="560"/>
      <c r="C19" s="560"/>
      <c r="D19" s="560"/>
      <c r="E19" s="560"/>
      <c r="F19" s="560"/>
      <c r="G19" s="560"/>
      <c r="H19" s="560"/>
      <c r="I19" s="561"/>
      <c r="J19" s="308">
        <f>F18</f>
        <v>2</v>
      </c>
    </row>
    <row r="20" spans="1:10" ht="15" thickBot="1" x14ac:dyDescent="0.35">
      <c r="A20" s="582" t="s">
        <v>17</v>
      </c>
      <c r="B20" s="583"/>
      <c r="C20" s="583"/>
      <c r="D20" s="583"/>
      <c r="E20" s="583"/>
      <c r="F20" s="583"/>
      <c r="G20" s="583"/>
      <c r="H20" s="583"/>
      <c r="I20" s="583"/>
      <c r="J20" s="584"/>
    </row>
    <row r="21" spans="1:10" x14ac:dyDescent="0.3">
      <c r="A21" s="309">
        <v>2</v>
      </c>
      <c r="B21" s="310" t="s">
        <v>11</v>
      </c>
      <c r="C21" s="311">
        <v>30000</v>
      </c>
      <c r="D21" s="624" t="s">
        <v>18</v>
      </c>
      <c r="E21" s="625"/>
      <c r="F21" s="625"/>
      <c r="G21" s="625"/>
      <c r="H21" s="625"/>
      <c r="I21" s="625"/>
      <c r="J21" s="312"/>
    </row>
    <row r="22" spans="1:10" x14ac:dyDescent="0.3">
      <c r="A22" s="119" t="str">
        <f>ORÇAMENTO!A21</f>
        <v>2.1</v>
      </c>
      <c r="B22" s="12" t="str">
        <f>ORÇAMENTO!B21</f>
        <v>GOINFRA</v>
      </c>
      <c r="C22" s="13">
        <v>30105</v>
      </c>
      <c r="D22" s="52" t="str">
        <f>ORÇAMENTO!D21</f>
        <v>TRANSPORTE DE ENTULHO CAÇAMBA ESTACIONÁRIA INCLUSO A CARGA MANUAL</v>
      </c>
      <c r="E22" s="13" t="str">
        <f>ORÇAMENTO!F21</f>
        <v xml:space="preserve">m3 </v>
      </c>
      <c r="F22" s="565" t="s">
        <v>73</v>
      </c>
      <c r="G22" s="567"/>
      <c r="H22" s="579" t="s">
        <v>74</v>
      </c>
      <c r="I22" s="581"/>
      <c r="J22" s="53" t="s">
        <v>65</v>
      </c>
    </row>
    <row r="23" spans="1:10" x14ac:dyDescent="0.3">
      <c r="A23" s="119"/>
      <c r="B23" s="12"/>
      <c r="C23" s="13"/>
      <c r="D23" s="52" t="s">
        <v>768</v>
      </c>
      <c r="E23" s="68"/>
      <c r="F23" s="565">
        <v>2298.21</v>
      </c>
      <c r="G23" s="567"/>
      <c r="H23" s="643">
        <v>0.05</v>
      </c>
      <c r="I23" s="644"/>
      <c r="J23" s="62">
        <f>H23*F23</f>
        <v>114.91050000000001</v>
      </c>
    </row>
    <row r="24" spans="1:10" x14ac:dyDescent="0.3">
      <c r="A24" s="119"/>
      <c r="B24" s="12"/>
      <c r="C24" s="13"/>
      <c r="D24" s="52" t="s">
        <v>769</v>
      </c>
      <c r="E24" s="68"/>
      <c r="F24" s="565">
        <v>1638.7</v>
      </c>
      <c r="G24" s="567"/>
      <c r="H24" s="643">
        <v>0.05</v>
      </c>
      <c r="I24" s="644"/>
      <c r="J24" s="62">
        <f t="shared" ref="J24:J26" si="0">H24*F24</f>
        <v>81.935000000000002</v>
      </c>
    </row>
    <row r="25" spans="1:10" x14ac:dyDescent="0.3">
      <c r="A25" s="119"/>
      <c r="B25" s="12"/>
      <c r="C25" s="13"/>
      <c r="D25" s="52" t="s">
        <v>764</v>
      </c>
      <c r="E25" s="68"/>
      <c r="F25" s="578">
        <v>80.34</v>
      </c>
      <c r="G25" s="578"/>
      <c r="H25" s="643">
        <v>0.05</v>
      </c>
      <c r="I25" s="644"/>
      <c r="J25" s="62">
        <f t="shared" si="0"/>
        <v>4.0170000000000003</v>
      </c>
    </row>
    <row r="26" spans="1:10" x14ac:dyDescent="0.3">
      <c r="A26" s="119"/>
      <c r="B26" s="12"/>
      <c r="C26" s="13"/>
      <c r="D26" s="52" t="s">
        <v>770</v>
      </c>
      <c r="E26" s="68"/>
      <c r="F26" s="565">
        <v>27.1</v>
      </c>
      <c r="G26" s="567"/>
      <c r="H26" s="643">
        <v>0.05</v>
      </c>
      <c r="I26" s="644"/>
      <c r="J26" s="62">
        <f t="shared" si="0"/>
        <v>1.3550000000000002</v>
      </c>
    </row>
    <row r="27" spans="1:10" x14ac:dyDescent="0.3">
      <c r="A27" s="572" t="s">
        <v>58</v>
      </c>
      <c r="B27" s="573"/>
      <c r="C27" s="573"/>
      <c r="D27" s="573"/>
      <c r="E27" s="573"/>
      <c r="F27" s="573"/>
      <c r="G27" s="573"/>
      <c r="H27" s="573"/>
      <c r="I27" s="574"/>
      <c r="J27" s="240">
        <f>J23+J24</f>
        <v>196.84550000000002</v>
      </c>
    </row>
    <row r="28" spans="1:10" x14ac:dyDescent="0.3">
      <c r="A28" s="119" t="s">
        <v>585</v>
      </c>
      <c r="B28" s="12" t="str">
        <f>ORÇAMENTO!B22</f>
        <v>GOINFRA</v>
      </c>
      <c r="C28" s="13">
        <v>30101</v>
      </c>
      <c r="D28" s="52" t="str">
        <f>ORÇAMENTO!D22</f>
        <v>TRANSPORTE DE ENTULHO EM CAMINHÃO SEM CARGA</v>
      </c>
      <c r="E28" s="13" t="s">
        <v>83</v>
      </c>
      <c r="F28" s="565" t="s">
        <v>73</v>
      </c>
      <c r="G28" s="567"/>
      <c r="H28" s="68" t="s">
        <v>588</v>
      </c>
      <c r="I28" s="68" t="s">
        <v>589</v>
      </c>
      <c r="J28" s="53" t="s">
        <v>65</v>
      </c>
    </row>
    <row r="29" spans="1:10" x14ac:dyDescent="0.3">
      <c r="A29" s="119"/>
      <c r="B29" s="12"/>
      <c r="C29" s="13"/>
      <c r="D29" s="52" t="s">
        <v>587</v>
      </c>
      <c r="E29" s="68"/>
      <c r="F29" s="565">
        <f>F15</f>
        <v>17056.310000000001</v>
      </c>
      <c r="G29" s="567"/>
      <c r="H29" s="68">
        <v>0.1</v>
      </c>
      <c r="I29" s="165">
        <v>0.25</v>
      </c>
      <c r="J29" s="62">
        <f>1.25*H29*F29</f>
        <v>2132.0387500000002</v>
      </c>
    </row>
    <row r="30" spans="1:10" ht="15" thickBot="1" x14ac:dyDescent="0.35">
      <c r="A30" s="559" t="s">
        <v>58</v>
      </c>
      <c r="B30" s="560"/>
      <c r="C30" s="560"/>
      <c r="D30" s="560"/>
      <c r="E30" s="560"/>
      <c r="F30" s="560"/>
      <c r="G30" s="560"/>
      <c r="H30" s="560"/>
      <c r="I30" s="561"/>
      <c r="J30" s="221">
        <f>J29</f>
        <v>2132.0387500000002</v>
      </c>
    </row>
    <row r="31" spans="1:10" ht="15" thickBot="1" x14ac:dyDescent="0.35">
      <c r="A31" s="582" t="s">
        <v>20</v>
      </c>
      <c r="B31" s="583"/>
      <c r="C31" s="583"/>
      <c r="D31" s="583"/>
      <c r="E31" s="583"/>
      <c r="F31" s="583"/>
      <c r="G31" s="583"/>
      <c r="H31" s="583"/>
      <c r="I31" s="583"/>
      <c r="J31" s="584"/>
    </row>
    <row r="32" spans="1:10" x14ac:dyDescent="0.3">
      <c r="A32" s="309">
        <v>3</v>
      </c>
      <c r="B32" s="310" t="s">
        <v>11</v>
      </c>
      <c r="C32" s="311">
        <v>40000</v>
      </c>
      <c r="D32" s="624" t="s">
        <v>21</v>
      </c>
      <c r="E32" s="625"/>
      <c r="F32" s="625"/>
      <c r="G32" s="625"/>
      <c r="H32" s="625"/>
      <c r="I32" s="625"/>
      <c r="J32" s="312"/>
    </row>
    <row r="33" spans="1:10" x14ac:dyDescent="0.3">
      <c r="A33" s="119" t="str">
        <f>ORÇAMENTO!A26</f>
        <v>3.1</v>
      </c>
      <c r="B33" s="12" t="str">
        <f>ORÇAMENTO!B26</f>
        <v>SINAPI</v>
      </c>
      <c r="C33" s="13">
        <f>ORÇAMENTO!C26</f>
        <v>6081</v>
      </c>
      <c r="D33" s="52" t="str">
        <f>ORÇAMENTO!D26</f>
        <v>ARGILA OU BARRO PARA ATERRO/REATERRO (COM TRANSPORTE ATE 10 KM)</v>
      </c>
      <c r="E33" s="13" t="str">
        <f>ORÇAMENTO!F26</f>
        <v xml:space="preserve">m3 </v>
      </c>
      <c r="F33" s="565" t="s">
        <v>778</v>
      </c>
      <c r="G33" s="567"/>
      <c r="H33" s="68" t="s">
        <v>79</v>
      </c>
      <c r="I33" s="68" t="s">
        <v>779</v>
      </c>
      <c r="J33" s="62" t="s">
        <v>65</v>
      </c>
    </row>
    <row r="34" spans="1:10" x14ac:dyDescent="0.3">
      <c r="A34" s="119"/>
      <c r="B34" s="12"/>
      <c r="C34" s="13"/>
      <c r="D34" s="52" t="s">
        <v>777</v>
      </c>
      <c r="E34" s="13"/>
      <c r="F34" s="565">
        <v>1571.84</v>
      </c>
      <c r="G34" s="567"/>
      <c r="H34" s="68">
        <v>1.1000000000000001</v>
      </c>
      <c r="I34" s="209">
        <v>0.3</v>
      </c>
      <c r="J34" s="53">
        <f>F34*H34*1.3</f>
        <v>2247.7312000000002</v>
      </c>
    </row>
    <row r="35" spans="1:10" ht="15" thickBot="1" x14ac:dyDescent="0.35">
      <c r="A35" s="559" t="s">
        <v>58</v>
      </c>
      <c r="B35" s="560"/>
      <c r="C35" s="560"/>
      <c r="D35" s="560"/>
      <c r="E35" s="560"/>
      <c r="F35" s="560"/>
      <c r="G35" s="560"/>
      <c r="H35" s="560"/>
      <c r="I35" s="561"/>
      <c r="J35" s="221">
        <f>J34</f>
        <v>2247.7312000000002</v>
      </c>
    </row>
    <row r="36" spans="1:10" x14ac:dyDescent="0.3">
      <c r="A36" s="215" t="str">
        <f>ORÇAMENTO!A27</f>
        <v>3.2</v>
      </c>
      <c r="B36" s="218" t="str">
        <f>ORÇAMENTO!B27</f>
        <v>GOINFRA</v>
      </c>
      <c r="C36" s="216">
        <f>ORÇAMENTO!C27</f>
        <v>41003</v>
      </c>
      <c r="D36" s="219" t="str">
        <f>ORÇAMENTO!D27</f>
        <v>ATERRO INTERNO SEM APILOAM.C/TR.EM CARRINHO MÃO</v>
      </c>
      <c r="E36" s="216" t="str">
        <f>ORÇAMENTO!F27</f>
        <v>m3</v>
      </c>
      <c r="F36" s="568" t="s">
        <v>782</v>
      </c>
      <c r="G36" s="569"/>
      <c r="H36" s="293" t="s">
        <v>79</v>
      </c>
      <c r="I36" s="293" t="s">
        <v>779</v>
      </c>
      <c r="J36" s="220" t="s">
        <v>65</v>
      </c>
    </row>
    <row r="37" spans="1:10" x14ac:dyDescent="0.3">
      <c r="A37" s="119"/>
      <c r="B37" s="12"/>
      <c r="C37" s="13"/>
      <c r="D37" s="52" t="s">
        <v>763</v>
      </c>
      <c r="E37" s="13"/>
      <c r="F37" s="578">
        <v>222.85</v>
      </c>
      <c r="G37" s="578"/>
      <c r="H37" s="68">
        <v>0.3</v>
      </c>
      <c r="I37" s="165">
        <v>0.25</v>
      </c>
      <c r="J37" s="53">
        <f>1.25*H37*F37</f>
        <v>83.568749999999994</v>
      </c>
    </row>
    <row r="38" spans="1:10" x14ac:dyDescent="0.3">
      <c r="A38" s="119"/>
      <c r="B38" s="12"/>
      <c r="C38" s="13"/>
      <c r="D38" s="52" t="s">
        <v>764</v>
      </c>
      <c r="E38" s="13"/>
      <c r="F38" s="578">
        <v>80.34</v>
      </c>
      <c r="G38" s="578"/>
      <c r="H38" s="68">
        <v>0.3</v>
      </c>
      <c r="I38" s="165">
        <v>0.25</v>
      </c>
      <c r="J38" s="53">
        <f t="shared" ref="J38:J39" si="1">1.25*H38*F38</f>
        <v>30.127500000000001</v>
      </c>
    </row>
    <row r="39" spans="1:10" x14ac:dyDescent="0.3">
      <c r="A39" s="119"/>
      <c r="B39" s="12"/>
      <c r="C39" s="13"/>
      <c r="D39" s="52" t="s">
        <v>765</v>
      </c>
      <c r="E39" s="13"/>
      <c r="F39" s="578">
        <v>27.1</v>
      </c>
      <c r="G39" s="578"/>
      <c r="H39" s="68">
        <v>0.3</v>
      </c>
      <c r="I39" s="165">
        <v>0.25</v>
      </c>
      <c r="J39" s="53">
        <f t="shared" si="1"/>
        <v>10.162500000000001</v>
      </c>
    </row>
    <row r="40" spans="1:10" ht="15" thickBot="1" x14ac:dyDescent="0.35">
      <c r="A40" s="559" t="s">
        <v>58</v>
      </c>
      <c r="B40" s="560"/>
      <c r="C40" s="560"/>
      <c r="D40" s="560"/>
      <c r="E40" s="560"/>
      <c r="F40" s="560"/>
      <c r="G40" s="560"/>
      <c r="H40" s="560"/>
      <c r="I40" s="561"/>
      <c r="J40" s="221">
        <f>J37+J38+J39</f>
        <v>123.85874999999999</v>
      </c>
    </row>
    <row r="41" spans="1:10" x14ac:dyDescent="0.3">
      <c r="A41" s="215" t="str">
        <f>ORÇAMENTO!A28</f>
        <v>3.3</v>
      </c>
      <c r="B41" s="216" t="str">
        <f>ORÇAMENTO!B28</f>
        <v>GOINFRA</v>
      </c>
      <c r="C41" s="216">
        <f>ORÇAMENTO!C28</f>
        <v>41002</v>
      </c>
      <c r="D41" s="219" t="str">
        <f>ORÇAMENTO!D28</f>
        <v>APILOAMENTO</v>
      </c>
      <c r="E41" s="216" t="str">
        <f>ORÇAMENTO!F28</f>
        <v>m3</v>
      </c>
      <c r="F41" s="568" t="s">
        <v>77</v>
      </c>
      <c r="G41" s="569"/>
      <c r="H41" s="293" t="str">
        <f>H36</f>
        <v>Altura</v>
      </c>
      <c r="I41" s="293" t="str">
        <f>I36</f>
        <v>Empolamento</v>
      </c>
      <c r="J41" s="220" t="s">
        <v>65</v>
      </c>
    </row>
    <row r="42" spans="1:10" x14ac:dyDescent="0.3">
      <c r="A42" s="119"/>
      <c r="B42" s="12"/>
      <c r="C42" s="13"/>
      <c r="D42" s="52" t="str">
        <f>D37</f>
        <v>Área administrativa da Feira de Varejo</v>
      </c>
      <c r="E42" s="13"/>
      <c r="F42" s="566">
        <f>F37</f>
        <v>222.85</v>
      </c>
      <c r="G42" s="567"/>
      <c r="H42" s="68">
        <v>0.3</v>
      </c>
      <c r="I42" s="165">
        <v>0.25</v>
      </c>
      <c r="J42" s="62">
        <f>F42*H42*1.25</f>
        <v>83.568749999999994</v>
      </c>
    </row>
    <row r="43" spans="1:10" x14ac:dyDescent="0.3">
      <c r="A43" s="119"/>
      <c r="B43" s="12"/>
      <c r="C43" s="13"/>
      <c r="D43" s="52" t="str">
        <f>D38</f>
        <v xml:space="preserve">Câmara Fria </v>
      </c>
      <c r="E43" s="13"/>
      <c r="F43" s="565">
        <f>F38</f>
        <v>80.34</v>
      </c>
      <c r="G43" s="566"/>
      <c r="H43" s="68">
        <v>0.3</v>
      </c>
      <c r="I43" s="165">
        <v>0.25</v>
      </c>
      <c r="J43" s="62">
        <f t="shared" ref="J43:J44" si="2">F43*H43*1.25</f>
        <v>30.127500000000001</v>
      </c>
    </row>
    <row r="44" spans="1:10" x14ac:dyDescent="0.3">
      <c r="A44" s="119"/>
      <c r="B44" s="12"/>
      <c r="C44" s="13"/>
      <c r="D44" s="52" t="str">
        <f>D39</f>
        <v>Guarita</v>
      </c>
      <c r="E44" s="13"/>
      <c r="F44" s="565">
        <f>F39</f>
        <v>27.1</v>
      </c>
      <c r="G44" s="566"/>
      <c r="H44" s="68">
        <v>0.3</v>
      </c>
      <c r="I44" s="165">
        <v>0.25</v>
      </c>
      <c r="J44" s="62">
        <f t="shared" si="2"/>
        <v>10.162500000000001</v>
      </c>
    </row>
    <row r="45" spans="1:10" ht="15" thickBot="1" x14ac:dyDescent="0.35">
      <c r="A45" s="559" t="s">
        <v>58</v>
      </c>
      <c r="B45" s="560"/>
      <c r="C45" s="560"/>
      <c r="D45" s="560"/>
      <c r="E45" s="560"/>
      <c r="F45" s="560"/>
      <c r="G45" s="560"/>
      <c r="H45" s="560"/>
      <c r="I45" s="561"/>
      <c r="J45" s="221">
        <f>J42+J43+J44</f>
        <v>123.85874999999999</v>
      </c>
    </row>
    <row r="46" spans="1:10" x14ac:dyDescent="0.3">
      <c r="A46" s="215" t="str">
        <f>ORÇAMENTO!A29</f>
        <v>3.4</v>
      </c>
      <c r="B46" s="218" t="str">
        <f>ORÇAMENTO!B29</f>
        <v>GOINFRA</v>
      </c>
      <c r="C46" s="216">
        <f>ORÇAMENTO!C29</f>
        <v>40902</v>
      </c>
      <c r="D46" s="219" t="str">
        <f>ORÇAMENTO!D29</f>
        <v xml:space="preserve">REATERRO COM APILOAMENTO </v>
      </c>
      <c r="E46" s="216" t="str">
        <f>ORÇAMENTO!F29</f>
        <v xml:space="preserve">m3 </v>
      </c>
      <c r="F46" s="568" t="str">
        <f>F33</f>
        <v>Área do Box Atacadista</v>
      </c>
      <c r="G46" s="569"/>
      <c r="H46" s="293" t="str">
        <f>H33</f>
        <v>Altura</v>
      </c>
      <c r="I46" s="293" t="str">
        <f>I33</f>
        <v>Empolamento</v>
      </c>
      <c r="J46" s="220" t="s">
        <v>65</v>
      </c>
    </row>
    <row r="47" spans="1:10" x14ac:dyDescent="0.3">
      <c r="A47" s="119"/>
      <c r="B47" s="12"/>
      <c r="C47" s="13"/>
      <c r="D47" s="52" t="str">
        <f>D34</f>
        <v>Argila ou Barro para o aterro do Box Atacadista</v>
      </c>
      <c r="E47" s="13"/>
      <c r="F47" s="565">
        <f>F34</f>
        <v>1571.84</v>
      </c>
      <c r="G47" s="567"/>
      <c r="H47" s="68">
        <f>H34</f>
        <v>1.1000000000000001</v>
      </c>
      <c r="I47" s="209">
        <v>0.3</v>
      </c>
      <c r="J47" s="53">
        <f>F47*H47*1.3</f>
        <v>2247.7312000000002</v>
      </c>
    </row>
    <row r="48" spans="1:10" s="167" customFormat="1" ht="15" thickBot="1" x14ac:dyDescent="0.35">
      <c r="A48" s="673" t="s">
        <v>58</v>
      </c>
      <c r="B48" s="674"/>
      <c r="C48" s="674"/>
      <c r="D48" s="674"/>
      <c r="E48" s="674"/>
      <c r="F48" s="674"/>
      <c r="G48" s="674"/>
      <c r="H48" s="674"/>
      <c r="I48" s="675"/>
      <c r="J48" s="313">
        <f>J47</f>
        <v>2247.7312000000002</v>
      </c>
    </row>
    <row r="49" spans="1:10" ht="15" thickBot="1" x14ac:dyDescent="0.35">
      <c r="A49" s="582" t="s">
        <v>22</v>
      </c>
      <c r="B49" s="583"/>
      <c r="C49" s="583"/>
      <c r="D49" s="583"/>
      <c r="E49" s="583"/>
      <c r="F49" s="583"/>
      <c r="G49" s="583"/>
      <c r="H49" s="583"/>
      <c r="I49" s="583"/>
      <c r="J49" s="584"/>
    </row>
    <row r="50" spans="1:10" x14ac:dyDescent="0.3">
      <c r="A50" s="309">
        <v>4</v>
      </c>
      <c r="B50" s="310" t="s">
        <v>23</v>
      </c>
      <c r="C50" s="311">
        <v>50000</v>
      </c>
      <c r="D50" s="624" t="s">
        <v>24</v>
      </c>
      <c r="E50" s="625"/>
      <c r="F50" s="625"/>
      <c r="G50" s="625"/>
      <c r="H50" s="625"/>
      <c r="I50" s="625"/>
      <c r="J50" s="312"/>
    </row>
    <row r="51" spans="1:10" x14ac:dyDescent="0.3">
      <c r="A51" s="119" t="str">
        <f>ORÇAMENTO!A33</f>
        <v>4.1</v>
      </c>
      <c r="B51" s="12" t="str">
        <f>ORÇAMENTO!B33</f>
        <v>GOINFRA</v>
      </c>
      <c r="C51" s="13">
        <f>ORÇAMENTO!C33</f>
        <v>50302</v>
      </c>
      <c r="D51" s="52" t="str">
        <f>ORÇAMENTO!D33</f>
        <v xml:space="preserve">ESTACA A TRADO DIAM.30 CM SEM FERRO </v>
      </c>
      <c r="E51" s="13" t="str">
        <f>ORÇAMENTO!F33</f>
        <v>m</v>
      </c>
      <c r="F51" s="565" t="s">
        <v>67</v>
      </c>
      <c r="G51" s="566"/>
      <c r="H51" s="566"/>
      <c r="I51" s="567"/>
      <c r="J51" s="62" t="s">
        <v>65</v>
      </c>
    </row>
    <row r="52" spans="1:10" x14ac:dyDescent="0.3">
      <c r="A52" s="119"/>
      <c r="B52" s="12"/>
      <c r="C52" s="13"/>
      <c r="D52" s="52" t="s">
        <v>783</v>
      </c>
      <c r="E52" s="13"/>
      <c r="F52" s="565" t="s">
        <v>784</v>
      </c>
      <c r="G52" s="566"/>
      <c r="H52" s="566"/>
      <c r="I52" s="567"/>
      <c r="J52" s="53">
        <f>(42*5)+(36*5)+(6*3)+(142*7)+(12*5)+(8*5)</f>
        <v>1502</v>
      </c>
    </row>
    <row r="53" spans="1:10" ht="15" thickBot="1" x14ac:dyDescent="0.35">
      <c r="A53" s="559" t="s">
        <v>58</v>
      </c>
      <c r="B53" s="560"/>
      <c r="C53" s="560"/>
      <c r="D53" s="560"/>
      <c r="E53" s="560"/>
      <c r="F53" s="560"/>
      <c r="G53" s="560"/>
      <c r="H53" s="560"/>
      <c r="I53" s="561"/>
      <c r="J53" s="221">
        <f>J52</f>
        <v>1502</v>
      </c>
    </row>
    <row r="54" spans="1:10" x14ac:dyDescent="0.3">
      <c r="A54" s="215" t="str">
        <f>ORÇAMENTO!A34</f>
        <v>4.2</v>
      </c>
      <c r="B54" s="218" t="str">
        <f>ORÇAMENTO!B34</f>
        <v>GOINFRA</v>
      </c>
      <c r="C54" s="216">
        <f>ORÇAMENTO!C34</f>
        <v>50901</v>
      </c>
      <c r="D54" s="219" t="str">
        <f>ORÇAMENTO!D34</f>
        <v xml:space="preserve">ESCAVACAO MANUAL DE VALAS (SAPATAS/BLOCOS) </v>
      </c>
      <c r="E54" s="216" t="str">
        <f>ORÇAMENTO!F34</f>
        <v xml:space="preserve">m3 </v>
      </c>
      <c r="F54" s="264" t="s">
        <v>67</v>
      </c>
      <c r="G54" s="264" t="s">
        <v>78</v>
      </c>
      <c r="H54" s="293" t="s">
        <v>71</v>
      </c>
      <c r="I54" s="293" t="s">
        <v>79</v>
      </c>
      <c r="J54" s="220" t="s">
        <v>65</v>
      </c>
    </row>
    <row r="55" spans="1:10" x14ac:dyDescent="0.3">
      <c r="A55" s="119"/>
      <c r="B55" s="12"/>
      <c r="C55" s="13"/>
      <c r="D55" s="52" t="s">
        <v>785</v>
      </c>
      <c r="E55" s="13"/>
      <c r="F55" s="153">
        <f>57+57+10+8+42</f>
        <v>174</v>
      </c>
      <c r="G55" s="153">
        <v>0.6</v>
      </c>
      <c r="H55" s="68">
        <v>0.6</v>
      </c>
      <c r="I55" s="68">
        <v>0.55000000000000004</v>
      </c>
      <c r="J55" s="53">
        <f>F55*G55*H55*I55</f>
        <v>34.451999999999998</v>
      </c>
    </row>
    <row r="56" spans="1:10" x14ac:dyDescent="0.3">
      <c r="A56" s="161"/>
      <c r="B56" s="55"/>
      <c r="C56" s="56"/>
      <c r="D56" s="52" t="s">
        <v>786</v>
      </c>
      <c r="E56" s="56"/>
      <c r="F56" s="153">
        <f>4+2</f>
        <v>6</v>
      </c>
      <c r="G56" s="153">
        <v>0.6</v>
      </c>
      <c r="H56" s="68">
        <v>0.6</v>
      </c>
      <c r="I56" s="68">
        <v>0.65</v>
      </c>
      <c r="J56" s="53">
        <f t="shared" ref="J56:J58" si="3">F56*G56*H56*I56</f>
        <v>1.4039999999999999</v>
      </c>
    </row>
    <row r="57" spans="1:10" x14ac:dyDescent="0.3">
      <c r="A57" s="161"/>
      <c r="B57" s="55"/>
      <c r="C57" s="56"/>
      <c r="D57" s="52" t="s">
        <v>787</v>
      </c>
      <c r="E57" s="56"/>
      <c r="F57" s="153">
        <f>26</f>
        <v>26</v>
      </c>
      <c r="G57" s="153">
        <v>0.7</v>
      </c>
      <c r="H57" s="68">
        <v>0.7</v>
      </c>
      <c r="I57" s="68">
        <v>0.55000000000000004</v>
      </c>
      <c r="J57" s="53">
        <f t="shared" si="3"/>
        <v>7.0069999999999997</v>
      </c>
    </row>
    <row r="58" spans="1:10" x14ac:dyDescent="0.3">
      <c r="A58" s="119"/>
      <c r="B58" s="12"/>
      <c r="C58" s="13"/>
      <c r="D58" s="52" t="s">
        <v>788</v>
      </c>
      <c r="E58" s="13"/>
      <c r="F58" s="153">
        <v>12</v>
      </c>
      <c r="G58" s="153">
        <v>1.5</v>
      </c>
      <c r="H58" s="68">
        <v>0.6</v>
      </c>
      <c r="I58" s="68">
        <v>0.6</v>
      </c>
      <c r="J58" s="53">
        <f t="shared" si="3"/>
        <v>6.4799999999999995</v>
      </c>
    </row>
    <row r="59" spans="1:10" ht="15" thickBot="1" x14ac:dyDescent="0.35">
      <c r="A59" s="559" t="s">
        <v>58</v>
      </c>
      <c r="B59" s="560"/>
      <c r="C59" s="560"/>
      <c r="D59" s="560"/>
      <c r="E59" s="560"/>
      <c r="F59" s="560"/>
      <c r="G59" s="560"/>
      <c r="H59" s="560"/>
      <c r="I59" s="561"/>
      <c r="J59" s="221">
        <f>J55+J56+J57+J58</f>
        <v>49.342999999999989</v>
      </c>
    </row>
    <row r="60" spans="1:10" x14ac:dyDescent="0.3">
      <c r="A60" s="215" t="str">
        <f>ORÇAMENTO!A35</f>
        <v>4.3</v>
      </c>
      <c r="B60" s="218" t="str">
        <f>ORÇAMENTO!B35</f>
        <v>GOINFRA</v>
      </c>
      <c r="C60" s="216">
        <f>ORÇAMENTO!C35</f>
        <v>50902</v>
      </c>
      <c r="D60" s="219" t="str">
        <f>ORÇAMENTO!D35</f>
        <v>APILOAMENTO (BLOCOS/SAPATAS)</v>
      </c>
      <c r="E60" s="216" t="str">
        <f>ORÇAMENTO!F35</f>
        <v xml:space="preserve"> m2 </v>
      </c>
      <c r="F60" s="264" t="s">
        <v>67</v>
      </c>
      <c r="G60" s="264" t="s">
        <v>78</v>
      </c>
      <c r="H60" s="293" t="s">
        <v>71</v>
      </c>
      <c r="I60" s="293" t="s">
        <v>79</v>
      </c>
      <c r="J60" s="220" t="s">
        <v>65</v>
      </c>
    </row>
    <row r="61" spans="1:10" x14ac:dyDescent="0.3">
      <c r="A61" s="119"/>
      <c r="B61" s="12"/>
      <c r="C61" s="13"/>
      <c r="D61" s="52" t="str">
        <f>D55</f>
        <v>Blocos (0,60x0,60x0,55)</v>
      </c>
      <c r="E61" s="13"/>
      <c r="F61" s="153">
        <f>F55</f>
        <v>174</v>
      </c>
      <c r="G61" s="153">
        <v>0.6</v>
      </c>
      <c r="H61" s="68">
        <v>0.6</v>
      </c>
      <c r="I61" s="68">
        <v>0</v>
      </c>
      <c r="J61" s="53">
        <f>F61*G61*H61</f>
        <v>62.639999999999993</v>
      </c>
    </row>
    <row r="62" spans="1:10" x14ac:dyDescent="0.3">
      <c r="A62" s="161"/>
      <c r="B62" s="55"/>
      <c r="C62" s="56"/>
      <c r="D62" s="52" t="str">
        <f>D56</f>
        <v>Blocos (0,60x0,60x0,65)</v>
      </c>
      <c r="E62" s="56"/>
      <c r="F62" s="153">
        <f>F56</f>
        <v>6</v>
      </c>
      <c r="G62" s="153">
        <v>0.6</v>
      </c>
      <c r="H62" s="68">
        <v>0.6</v>
      </c>
      <c r="I62" s="68">
        <v>0</v>
      </c>
      <c r="J62" s="53">
        <f>F62*G62*H62</f>
        <v>2.1599999999999997</v>
      </c>
    </row>
    <row r="63" spans="1:10" x14ac:dyDescent="0.3">
      <c r="A63" s="161"/>
      <c r="B63" s="55"/>
      <c r="C63" s="56"/>
      <c r="D63" s="52" t="str">
        <f>D57</f>
        <v>Blocos (0,70x0,70x0,55)</v>
      </c>
      <c r="E63" s="56"/>
      <c r="F63" s="153">
        <f>F57</f>
        <v>26</v>
      </c>
      <c r="G63" s="153">
        <v>0.7</v>
      </c>
      <c r="H63" s="68">
        <v>0.7</v>
      </c>
      <c r="I63" s="68">
        <v>0</v>
      </c>
      <c r="J63" s="53">
        <f>F63*G63*H63</f>
        <v>12.739999999999998</v>
      </c>
    </row>
    <row r="64" spans="1:10" x14ac:dyDescent="0.3">
      <c r="A64" s="119"/>
      <c r="B64" s="12"/>
      <c r="C64" s="13"/>
      <c r="D64" s="52" t="str">
        <f>D58</f>
        <v>Blocos (1,50x0,60x0,60)</v>
      </c>
      <c r="E64" s="13"/>
      <c r="F64" s="153">
        <f>F58</f>
        <v>12</v>
      </c>
      <c r="G64" s="153">
        <v>1.5</v>
      </c>
      <c r="H64" s="68">
        <v>0.6</v>
      </c>
      <c r="I64" s="68">
        <v>0</v>
      </c>
      <c r="J64" s="53">
        <f>F64*G64*H64</f>
        <v>10.799999999999999</v>
      </c>
    </row>
    <row r="65" spans="1:10" ht="15" thickBot="1" x14ac:dyDescent="0.35">
      <c r="A65" s="559" t="s">
        <v>58</v>
      </c>
      <c r="B65" s="560"/>
      <c r="C65" s="560"/>
      <c r="D65" s="560"/>
      <c r="E65" s="560"/>
      <c r="F65" s="560"/>
      <c r="G65" s="560"/>
      <c r="H65" s="560"/>
      <c r="I65" s="561"/>
      <c r="J65" s="221">
        <f>SUM(J61:J64)</f>
        <v>88.339999999999989</v>
      </c>
    </row>
    <row r="66" spans="1:10" x14ac:dyDescent="0.3">
      <c r="A66" s="215" t="str">
        <f>ORÇAMENTO!A36</f>
        <v>4.4</v>
      </c>
      <c r="B66" s="218" t="str">
        <f>ORÇAMENTO!B36</f>
        <v>GOINFRA</v>
      </c>
      <c r="C66" s="216">
        <f>ORÇAMENTO!C36</f>
        <v>51009</v>
      </c>
      <c r="D66" s="219" t="str">
        <f>ORÇAMENTO!D36</f>
        <v xml:space="preserve">FORMA TABUA PINHO P/FUNDACOES U=3V - (OBRAS CIVIS) </v>
      </c>
      <c r="E66" s="216" t="str">
        <f>ORÇAMENTO!F36</f>
        <v xml:space="preserve">m2 </v>
      </c>
      <c r="F66" s="264" t="s">
        <v>790</v>
      </c>
      <c r="G66" s="570" t="s">
        <v>789</v>
      </c>
      <c r="H66" s="594"/>
      <c r="I66" s="571"/>
      <c r="J66" s="220" t="s">
        <v>65</v>
      </c>
    </row>
    <row r="67" spans="1:10" x14ac:dyDescent="0.3">
      <c r="A67" s="161"/>
      <c r="B67" s="55"/>
      <c r="C67" s="56"/>
      <c r="D67" s="152" t="s">
        <v>1083</v>
      </c>
      <c r="E67" s="56"/>
      <c r="F67" s="300">
        <v>2</v>
      </c>
      <c r="G67" s="579">
        <v>16.3</v>
      </c>
      <c r="H67" s="580"/>
      <c r="I67" s="581"/>
      <c r="J67" s="306">
        <f>G67/F67</f>
        <v>8.15</v>
      </c>
    </row>
    <row r="68" spans="1:10" x14ac:dyDescent="0.3">
      <c r="A68" s="161"/>
      <c r="B68" s="55"/>
      <c r="C68" s="56"/>
      <c r="D68" s="152" t="s">
        <v>1084</v>
      </c>
      <c r="E68" s="56"/>
      <c r="F68" s="300">
        <v>2</v>
      </c>
      <c r="G68" s="579">
        <v>10.6</v>
      </c>
      <c r="H68" s="580"/>
      <c r="I68" s="581"/>
      <c r="J68" s="306">
        <f t="shared" ref="J68:J71" si="4">G68/F68</f>
        <v>5.3</v>
      </c>
    </row>
    <row r="69" spans="1:10" x14ac:dyDescent="0.3">
      <c r="A69" s="161"/>
      <c r="B69" s="55"/>
      <c r="C69" s="56"/>
      <c r="D69" s="152" t="s">
        <v>1085</v>
      </c>
      <c r="E69" s="56"/>
      <c r="F69" s="300">
        <v>2</v>
      </c>
      <c r="G69" s="579">
        <v>67.5</v>
      </c>
      <c r="H69" s="580"/>
      <c r="I69" s="581"/>
      <c r="J69" s="306">
        <f t="shared" si="4"/>
        <v>33.75</v>
      </c>
    </row>
    <row r="70" spans="1:10" x14ac:dyDescent="0.3">
      <c r="A70" s="161"/>
      <c r="B70" s="55"/>
      <c r="C70" s="56"/>
      <c r="D70" s="152" t="s">
        <v>1086</v>
      </c>
      <c r="E70" s="56"/>
      <c r="F70" s="300">
        <v>2</v>
      </c>
      <c r="G70" s="579" t="s">
        <v>1105</v>
      </c>
      <c r="H70" s="580"/>
      <c r="I70" s="581"/>
      <c r="J70" s="306">
        <f>(72.02+96.95+40.34)/2</f>
        <v>104.655</v>
      </c>
    </row>
    <row r="71" spans="1:10" x14ac:dyDescent="0.3">
      <c r="A71" s="161"/>
      <c r="B71" s="55"/>
      <c r="C71" s="56"/>
      <c r="D71" s="152" t="s">
        <v>1082</v>
      </c>
      <c r="E71" s="56"/>
      <c r="F71" s="300">
        <v>2</v>
      </c>
      <c r="G71" s="565">
        <v>93.5</v>
      </c>
      <c r="H71" s="566"/>
      <c r="I71" s="567"/>
      <c r="J71" s="306">
        <f t="shared" si="4"/>
        <v>46.75</v>
      </c>
    </row>
    <row r="72" spans="1:10" ht="15" thickBot="1" x14ac:dyDescent="0.35">
      <c r="A72" s="559" t="s">
        <v>58</v>
      </c>
      <c r="B72" s="560"/>
      <c r="C72" s="560"/>
      <c r="D72" s="560"/>
      <c r="E72" s="560"/>
      <c r="F72" s="560"/>
      <c r="G72" s="560"/>
      <c r="H72" s="560"/>
      <c r="I72" s="561"/>
      <c r="J72" s="221">
        <f>SUM(J67:J71)</f>
        <v>198.60500000000002</v>
      </c>
    </row>
    <row r="73" spans="1:10" x14ac:dyDescent="0.3">
      <c r="A73" s="215" t="str">
        <f>ORÇAMENTO!A37</f>
        <v>4.5</v>
      </c>
      <c r="B73" s="218" t="str">
        <f>ORÇAMENTO!B37</f>
        <v>GOINFRA</v>
      </c>
      <c r="C73" s="216">
        <f>ORÇAMENTO!C37</f>
        <v>51036</v>
      </c>
      <c r="D73" s="219" t="str">
        <f>ORÇAMENTO!D37</f>
        <v>CONCRETO USINADO BOMBEÁVEL FCK=25 MPA (O.C.)</v>
      </c>
      <c r="E73" s="216" t="str">
        <f>ORÇAMENTO!F37</f>
        <v>m3</v>
      </c>
      <c r="F73" s="570" t="s">
        <v>71</v>
      </c>
      <c r="G73" s="594"/>
      <c r="H73" s="594"/>
      <c r="I73" s="571"/>
      <c r="J73" s="220" t="s">
        <v>65</v>
      </c>
    </row>
    <row r="74" spans="1:10" x14ac:dyDescent="0.3">
      <c r="A74" s="119"/>
      <c r="B74" s="12"/>
      <c r="C74" s="13"/>
      <c r="D74" s="52" t="s">
        <v>1064</v>
      </c>
      <c r="E74" s="13"/>
      <c r="F74" s="565">
        <v>21.1</v>
      </c>
      <c r="G74" s="566"/>
      <c r="H74" s="566"/>
      <c r="I74" s="567"/>
      <c r="J74" s="53">
        <f>F74</f>
        <v>21.1</v>
      </c>
    </row>
    <row r="75" spans="1:10" x14ac:dyDescent="0.3">
      <c r="A75" s="161"/>
      <c r="B75" s="55"/>
      <c r="C75" s="56"/>
      <c r="D75" s="52" t="s">
        <v>1065</v>
      </c>
      <c r="E75" s="13"/>
      <c r="F75" s="565">
        <v>5.3</v>
      </c>
      <c r="G75" s="566"/>
      <c r="H75" s="566"/>
      <c r="I75" s="567"/>
      <c r="J75" s="53">
        <f t="shared" ref="J75:J76" si="5">F75</f>
        <v>5.3</v>
      </c>
    </row>
    <row r="76" spans="1:10" x14ac:dyDescent="0.3">
      <c r="A76" s="161"/>
      <c r="B76" s="55"/>
      <c r="C76" s="56"/>
      <c r="D76" s="52" t="s">
        <v>1066</v>
      </c>
      <c r="E76" s="13"/>
      <c r="F76" s="565">
        <v>2.8</v>
      </c>
      <c r="G76" s="566"/>
      <c r="H76" s="566"/>
      <c r="I76" s="567"/>
      <c r="J76" s="53">
        <f t="shared" si="5"/>
        <v>2.8</v>
      </c>
    </row>
    <row r="77" spans="1:10" x14ac:dyDescent="0.3">
      <c r="A77" s="119"/>
      <c r="B77" s="12"/>
      <c r="C77" s="13"/>
      <c r="D77" s="52" t="s">
        <v>1067</v>
      </c>
      <c r="E77" s="13"/>
      <c r="F77" s="565">
        <v>10.74</v>
      </c>
      <c r="G77" s="566"/>
      <c r="H77" s="566"/>
      <c r="I77" s="567"/>
      <c r="J77" s="62">
        <f>F77</f>
        <v>10.74</v>
      </c>
    </row>
    <row r="78" spans="1:10" x14ac:dyDescent="0.3">
      <c r="A78" s="119"/>
      <c r="B78" s="12"/>
      <c r="C78" s="13"/>
      <c r="D78" s="52" t="s">
        <v>1079</v>
      </c>
      <c r="E78" s="13"/>
      <c r="F78" s="578" t="s">
        <v>1104</v>
      </c>
      <c r="G78" s="578"/>
      <c r="H78" s="578"/>
      <c r="I78" s="578"/>
      <c r="J78" s="62">
        <f>8.75+5.5+2.29</f>
        <v>16.54</v>
      </c>
    </row>
    <row r="79" spans="1:10" ht="15" thickBot="1" x14ac:dyDescent="0.35">
      <c r="A79" s="670" t="s">
        <v>58</v>
      </c>
      <c r="B79" s="671"/>
      <c r="C79" s="671"/>
      <c r="D79" s="671"/>
      <c r="E79" s="671"/>
      <c r="F79" s="671"/>
      <c r="G79" s="671"/>
      <c r="H79" s="671"/>
      <c r="I79" s="672"/>
      <c r="J79" s="217">
        <f>SUM(J74:J78)</f>
        <v>56.480000000000004</v>
      </c>
    </row>
    <row r="80" spans="1:10" x14ac:dyDescent="0.3">
      <c r="A80" s="215" t="str">
        <f>ORÇAMENTO!A38</f>
        <v>4.6</v>
      </c>
      <c r="B80" s="218" t="str">
        <f>ORÇAMENTO!B38</f>
        <v>GOINFRA</v>
      </c>
      <c r="C80" s="216">
        <f>ORÇAMENTO!C38</f>
        <v>51060</v>
      </c>
      <c r="D80" s="219" t="str">
        <f>ORÇAMENTO!D38</f>
        <v>LANÇAMENTO/APLICAÇÃO/ADENSAMENTO DE CONCRETO USINADO BOMBEADO EM FUNDAÇÃO (O.C.)</v>
      </c>
      <c r="E80" s="216" t="str">
        <f>ORÇAMENTO!F38</f>
        <v xml:space="preserve">m3 </v>
      </c>
      <c r="F80" s="264" t="s">
        <v>67</v>
      </c>
      <c r="G80" s="264" t="s">
        <v>78</v>
      </c>
      <c r="H80" s="293" t="s">
        <v>71</v>
      </c>
      <c r="I80" s="293" t="s">
        <v>79</v>
      </c>
      <c r="J80" s="220" t="s">
        <v>65</v>
      </c>
    </row>
    <row r="81" spans="1:10" x14ac:dyDescent="0.3">
      <c r="A81" s="119"/>
      <c r="B81" s="12"/>
      <c r="C81" s="13"/>
      <c r="D81" s="52" t="str">
        <f>D74</f>
        <v>Concreto Fundação conforme Projeto Estrutural - Bloco Atacadista</v>
      </c>
      <c r="E81" s="13"/>
      <c r="F81" s="579">
        <v>21.1</v>
      </c>
      <c r="G81" s="580"/>
      <c r="H81" s="580"/>
      <c r="I81" s="581"/>
      <c r="J81" s="53">
        <f>F81</f>
        <v>21.1</v>
      </c>
    </row>
    <row r="82" spans="1:10" x14ac:dyDescent="0.3">
      <c r="A82" s="161"/>
      <c r="B82" s="55"/>
      <c r="C82" s="56"/>
      <c r="D82" s="52" t="str">
        <f>D75</f>
        <v>Concreto Fundação conforme Projeto Estrutural - Câmara Fria</v>
      </c>
      <c r="E82" s="56"/>
      <c r="F82" s="579">
        <v>5.3</v>
      </c>
      <c r="G82" s="580"/>
      <c r="H82" s="580"/>
      <c r="I82" s="581"/>
      <c r="J82" s="53">
        <f t="shared" ref="J82:J83" si="6">F82</f>
        <v>5.3</v>
      </c>
    </row>
    <row r="83" spans="1:10" x14ac:dyDescent="0.3">
      <c r="A83" s="161"/>
      <c r="B83" s="55"/>
      <c r="C83" s="56"/>
      <c r="D83" s="52" t="str">
        <f>D76</f>
        <v>Concreto Fundação conforme Projeto Estrutural - Guarita</v>
      </c>
      <c r="E83" s="56"/>
      <c r="F83" s="579">
        <v>2.8</v>
      </c>
      <c r="G83" s="580"/>
      <c r="H83" s="580"/>
      <c r="I83" s="581"/>
      <c r="J83" s="53">
        <f t="shared" si="6"/>
        <v>2.8</v>
      </c>
    </row>
    <row r="84" spans="1:10" x14ac:dyDescent="0.3">
      <c r="A84" s="119"/>
      <c r="B84" s="12"/>
      <c r="C84" s="13"/>
      <c r="D84" s="301" t="str">
        <f>D77</f>
        <v>Concreto Fundação conforme Projeto Estrutural - Feira de Varejo</v>
      </c>
      <c r="E84" s="298"/>
      <c r="F84" s="579">
        <v>10.74</v>
      </c>
      <c r="G84" s="580"/>
      <c r="H84" s="580"/>
      <c r="I84" s="581"/>
      <c r="J84" s="53">
        <f>10.74</f>
        <v>10.74</v>
      </c>
    </row>
    <row r="85" spans="1:10" x14ac:dyDescent="0.3">
      <c r="A85" s="119"/>
      <c r="B85" s="12"/>
      <c r="C85" s="13"/>
      <c r="D85" s="301" t="str">
        <f>D78</f>
        <v xml:space="preserve">Concreto Fundação conforme Projeto Estrutural - Feira de Varejo - Administrativo </v>
      </c>
      <c r="E85" s="13"/>
      <c r="F85" s="579" t="s">
        <v>1104</v>
      </c>
      <c r="G85" s="580"/>
      <c r="H85" s="580"/>
      <c r="I85" s="581"/>
      <c r="J85" s="306">
        <f>8.75+5.5+2.29</f>
        <v>16.54</v>
      </c>
    </row>
    <row r="86" spans="1:10" ht="15" thickBot="1" x14ac:dyDescent="0.35">
      <c r="A86" s="559" t="s">
        <v>58</v>
      </c>
      <c r="B86" s="560"/>
      <c r="C86" s="560"/>
      <c r="D86" s="560"/>
      <c r="E86" s="560"/>
      <c r="F86" s="560"/>
      <c r="G86" s="560"/>
      <c r="H86" s="560"/>
      <c r="I86" s="561"/>
      <c r="J86" s="217">
        <f>SUM(J81:J85)</f>
        <v>56.480000000000004</v>
      </c>
    </row>
    <row r="87" spans="1:10" x14ac:dyDescent="0.3">
      <c r="A87" s="215" t="str">
        <f>ORÇAMENTO!A39</f>
        <v>4.7</v>
      </c>
      <c r="B87" s="216" t="str">
        <f>ORÇAMENTO!B39</f>
        <v>GOINFRA</v>
      </c>
      <c r="C87" s="216">
        <f>ORÇAMENTO!C39</f>
        <v>52003</v>
      </c>
      <c r="D87" s="302" t="str">
        <f>ORÇAMENTO!D39</f>
        <v>ACO CA-50A - 6,3 MM (1/4") - (OBRAS CIVIS)</v>
      </c>
      <c r="E87" s="216" t="str">
        <f>ORÇAMENTO!F39</f>
        <v xml:space="preserve">Kg </v>
      </c>
      <c r="F87" s="676" t="s">
        <v>326</v>
      </c>
      <c r="G87" s="586"/>
      <c r="H87" s="586"/>
      <c r="I87" s="587"/>
      <c r="J87" s="226"/>
    </row>
    <row r="88" spans="1:10" x14ac:dyDescent="0.3">
      <c r="A88" s="162"/>
      <c r="B88" s="210"/>
      <c r="C88" s="210"/>
      <c r="D88" s="52" t="s">
        <v>1074</v>
      </c>
      <c r="E88" s="210"/>
      <c r="F88" s="618">
        <v>242.07</v>
      </c>
      <c r="G88" s="589"/>
      <c r="H88" s="589"/>
      <c r="I88" s="590"/>
      <c r="J88" s="53">
        <f>F88</f>
        <v>242.07</v>
      </c>
    </row>
    <row r="89" spans="1:10" ht="15" thickBot="1" x14ac:dyDescent="0.35">
      <c r="A89" s="559" t="s">
        <v>58</v>
      </c>
      <c r="B89" s="560"/>
      <c r="C89" s="560"/>
      <c r="D89" s="560"/>
      <c r="E89" s="560"/>
      <c r="F89" s="560"/>
      <c r="G89" s="560"/>
      <c r="H89" s="560"/>
      <c r="I89" s="561"/>
      <c r="J89" s="221">
        <f>J88</f>
        <v>242.07</v>
      </c>
    </row>
    <row r="90" spans="1:10" x14ac:dyDescent="0.3">
      <c r="A90" s="215" t="str">
        <f>ORÇAMENTO!A40</f>
        <v>4.8</v>
      </c>
      <c r="B90" s="218" t="str">
        <f>ORÇAMENTO!B40</f>
        <v>GOINFRA</v>
      </c>
      <c r="C90" s="216">
        <f>ORÇAMENTO!C40</f>
        <v>52004</v>
      </c>
      <c r="D90" s="219" t="str">
        <f>ORÇAMENTO!D40</f>
        <v xml:space="preserve">ACO CA 50-A - 8,0 MM (5/16") - (OBRAS CIVIS) </v>
      </c>
      <c r="E90" s="216" t="str">
        <f>ORÇAMENTO!F40</f>
        <v xml:space="preserve">Kg </v>
      </c>
      <c r="F90" s="570" t="s">
        <v>326</v>
      </c>
      <c r="G90" s="594"/>
      <c r="H90" s="594"/>
      <c r="I90" s="571"/>
      <c r="J90" s="220" t="s">
        <v>65</v>
      </c>
    </row>
    <row r="91" spans="1:10" x14ac:dyDescent="0.3">
      <c r="A91" s="119"/>
      <c r="B91" s="12"/>
      <c r="C91" s="13"/>
      <c r="D91" s="52" t="s">
        <v>1068</v>
      </c>
      <c r="E91" s="13"/>
      <c r="F91" s="579" t="s">
        <v>1069</v>
      </c>
      <c r="G91" s="580"/>
      <c r="H91" s="580"/>
      <c r="I91" s="581"/>
      <c r="J91" s="53">
        <f>377.1+669.97</f>
        <v>1047.0700000000002</v>
      </c>
    </row>
    <row r="92" spans="1:10" x14ac:dyDescent="0.3">
      <c r="A92" s="119"/>
      <c r="B92" s="12"/>
      <c r="C92" s="13"/>
      <c r="D92" s="52" t="s">
        <v>1071</v>
      </c>
      <c r="E92" s="13"/>
      <c r="F92" s="579" t="s">
        <v>1072</v>
      </c>
      <c r="G92" s="580"/>
      <c r="H92" s="580"/>
      <c r="I92" s="581"/>
      <c r="J92" s="53">
        <f>56.59+56.3</f>
        <v>112.89</v>
      </c>
    </row>
    <row r="93" spans="1:10" x14ac:dyDescent="0.3">
      <c r="A93" s="119"/>
      <c r="B93" s="12"/>
      <c r="C93" s="13"/>
      <c r="D93" s="52" t="s">
        <v>1080</v>
      </c>
      <c r="E93" s="13"/>
      <c r="F93" s="579">
        <v>37.5</v>
      </c>
      <c r="G93" s="580"/>
      <c r="H93" s="580"/>
      <c r="I93" s="581"/>
      <c r="J93" s="53">
        <f>F93</f>
        <v>37.5</v>
      </c>
    </row>
    <row r="94" spans="1:10" x14ac:dyDescent="0.3">
      <c r="A94" s="162"/>
      <c r="B94" s="59"/>
      <c r="C94" s="60"/>
      <c r="D94" s="52" t="s">
        <v>1078</v>
      </c>
      <c r="E94" s="60"/>
      <c r="F94" s="579" t="s">
        <v>1118</v>
      </c>
      <c r="G94" s="580"/>
      <c r="H94" s="580"/>
      <c r="I94" s="581"/>
      <c r="J94" s="53">
        <f>246.4+106.3</f>
        <v>352.7</v>
      </c>
    </row>
    <row r="95" spans="1:10" ht="15" thickBot="1" x14ac:dyDescent="0.35">
      <c r="A95" s="559" t="s">
        <v>58</v>
      </c>
      <c r="B95" s="560"/>
      <c r="C95" s="560"/>
      <c r="D95" s="560"/>
      <c r="E95" s="560"/>
      <c r="F95" s="560"/>
      <c r="G95" s="560"/>
      <c r="H95" s="560"/>
      <c r="I95" s="561"/>
      <c r="J95" s="221">
        <f>SUM(J91:J94)</f>
        <v>1550.1600000000003</v>
      </c>
    </row>
    <row r="96" spans="1:10" x14ac:dyDescent="0.3">
      <c r="A96" s="215" t="str">
        <f>ORÇAMENTO!A41</f>
        <v>4.9</v>
      </c>
      <c r="B96" s="218" t="str">
        <f>ORÇAMENTO!B41</f>
        <v>GOINFRA</v>
      </c>
      <c r="C96" s="216">
        <f>ORÇAMENTO!C41</f>
        <v>52005</v>
      </c>
      <c r="D96" s="219" t="str">
        <f>ORÇAMENTO!D41</f>
        <v>ACO CA-50A - 10,0 MM (3/8") - (OBRAS CIVIS)</v>
      </c>
      <c r="E96" s="216" t="str">
        <f>ORÇAMENTO!F41</f>
        <v xml:space="preserve">Kg </v>
      </c>
      <c r="F96" s="570" t="s">
        <v>326</v>
      </c>
      <c r="G96" s="594"/>
      <c r="H96" s="594"/>
      <c r="I96" s="571"/>
      <c r="J96" s="220" t="s">
        <v>65</v>
      </c>
    </row>
    <row r="97" spans="1:10" x14ac:dyDescent="0.3">
      <c r="A97" s="119"/>
      <c r="B97" s="12"/>
      <c r="C97" s="13"/>
      <c r="D97" s="52" t="s">
        <v>1068</v>
      </c>
      <c r="E97" s="13"/>
      <c r="F97" s="579">
        <v>34.9</v>
      </c>
      <c r="G97" s="580"/>
      <c r="H97" s="580"/>
      <c r="I97" s="581"/>
      <c r="J97" s="53">
        <f>F97</f>
        <v>34.9</v>
      </c>
    </row>
    <row r="98" spans="1:10" x14ac:dyDescent="0.3">
      <c r="A98" s="119"/>
      <c r="B98" s="12"/>
      <c r="C98" s="56"/>
      <c r="D98" s="52" t="s">
        <v>1074</v>
      </c>
      <c r="E98" s="13"/>
      <c r="F98" s="579" t="s">
        <v>1075</v>
      </c>
      <c r="G98" s="580"/>
      <c r="H98" s="580"/>
      <c r="I98" s="581"/>
      <c r="J98" s="53">
        <f>880.59+41</f>
        <v>921.59</v>
      </c>
    </row>
    <row r="99" spans="1:10" x14ac:dyDescent="0.3">
      <c r="A99" s="212"/>
      <c r="B99" s="12"/>
      <c r="C99" s="13"/>
      <c r="D99" s="52" t="s">
        <v>1078</v>
      </c>
      <c r="E99" s="13"/>
      <c r="F99" s="579">
        <v>133.5</v>
      </c>
      <c r="G99" s="580"/>
      <c r="H99" s="580"/>
      <c r="I99" s="581"/>
      <c r="J99" s="240">
        <f>F99</f>
        <v>133.5</v>
      </c>
    </row>
    <row r="100" spans="1:10" x14ac:dyDescent="0.3">
      <c r="A100" s="119"/>
      <c r="B100" s="12"/>
      <c r="C100" s="13"/>
      <c r="D100" s="52"/>
      <c r="E100" s="13"/>
      <c r="F100" s="579"/>
      <c r="G100" s="580"/>
      <c r="H100" s="580"/>
      <c r="I100" s="581"/>
      <c r="J100" s="240"/>
    </row>
    <row r="101" spans="1:10" ht="15" thickBot="1" x14ac:dyDescent="0.35">
      <c r="A101" s="559" t="s">
        <v>58</v>
      </c>
      <c r="B101" s="560"/>
      <c r="C101" s="560"/>
      <c r="D101" s="560"/>
      <c r="E101" s="560"/>
      <c r="F101" s="560"/>
      <c r="G101" s="560"/>
      <c r="H101" s="560"/>
      <c r="I101" s="561"/>
      <c r="J101" s="221">
        <f>SUM(J97:J100)</f>
        <v>1089.99</v>
      </c>
    </row>
    <row r="102" spans="1:10" x14ac:dyDescent="0.3">
      <c r="A102" s="215" t="str">
        <f>ORÇAMENTO!A42</f>
        <v>4.10</v>
      </c>
      <c r="B102" s="303" t="str">
        <f>ORÇAMENTO!B42</f>
        <v>GOINFRA</v>
      </c>
      <c r="C102" s="303">
        <f>ORÇAMENTO!C42</f>
        <v>52006</v>
      </c>
      <c r="D102" s="304" t="str">
        <f>ORÇAMENTO!D42</f>
        <v>ACO CA 50-A - 12,5 MM (1/2") - (OBRAS CIVIS)</v>
      </c>
      <c r="E102" s="216" t="str">
        <f>ORÇAMENTO!F42</f>
        <v xml:space="preserve"> Kg </v>
      </c>
      <c r="F102" s="676" t="s">
        <v>326</v>
      </c>
      <c r="G102" s="586"/>
      <c r="H102" s="586"/>
      <c r="I102" s="587"/>
      <c r="J102" s="226"/>
    </row>
    <row r="103" spans="1:10" x14ac:dyDescent="0.3">
      <c r="A103" s="162"/>
      <c r="B103" s="210"/>
      <c r="C103" s="210"/>
      <c r="D103" s="52" t="s">
        <v>1074</v>
      </c>
      <c r="E103" s="210"/>
      <c r="F103" s="618">
        <v>220.8</v>
      </c>
      <c r="G103" s="589"/>
      <c r="H103" s="589"/>
      <c r="I103" s="590"/>
      <c r="J103" s="53">
        <f>F103</f>
        <v>220.8</v>
      </c>
    </row>
    <row r="104" spans="1:10" ht="15" thickBot="1" x14ac:dyDescent="0.35">
      <c r="A104" s="559" t="s">
        <v>58</v>
      </c>
      <c r="B104" s="560"/>
      <c r="C104" s="560"/>
      <c r="D104" s="560"/>
      <c r="E104" s="560"/>
      <c r="F104" s="560"/>
      <c r="G104" s="560"/>
      <c r="H104" s="560"/>
      <c r="I104" s="561"/>
      <c r="J104" s="221">
        <f>J103</f>
        <v>220.8</v>
      </c>
    </row>
    <row r="105" spans="1:10" x14ac:dyDescent="0.3">
      <c r="A105" s="215" t="str">
        <f>ORÇAMENTO!A43</f>
        <v>4.11</v>
      </c>
      <c r="B105" s="216" t="str">
        <f>ORÇAMENTO!B43</f>
        <v>GOINFRA</v>
      </c>
      <c r="C105" s="216">
        <f>ORÇAMENTO!C43</f>
        <v>52008</v>
      </c>
      <c r="D105" s="302" t="str">
        <f>ORÇAMENTO!D43</f>
        <v>ACO CA-50 A - 20,0 MM (3/4") - (OBRAS CIVIS)</v>
      </c>
      <c r="E105" s="305"/>
      <c r="F105" s="676" t="s">
        <v>326</v>
      </c>
      <c r="G105" s="586"/>
      <c r="H105" s="586"/>
      <c r="I105" s="587"/>
      <c r="J105" s="226"/>
    </row>
    <row r="106" spans="1:10" x14ac:dyDescent="0.3">
      <c r="A106" s="162"/>
      <c r="B106" s="210"/>
      <c r="C106" s="210"/>
      <c r="D106" s="52" t="s">
        <v>1074</v>
      </c>
      <c r="E106" s="210"/>
      <c r="F106" s="618">
        <v>81.900000000000006</v>
      </c>
      <c r="G106" s="589"/>
      <c r="H106" s="589"/>
      <c r="I106" s="590"/>
      <c r="J106" s="53">
        <f>F106</f>
        <v>81.900000000000006</v>
      </c>
    </row>
    <row r="107" spans="1:10" ht="15" thickBot="1" x14ac:dyDescent="0.35">
      <c r="A107" s="559" t="s">
        <v>58</v>
      </c>
      <c r="B107" s="560"/>
      <c r="C107" s="560"/>
      <c r="D107" s="560"/>
      <c r="E107" s="560"/>
      <c r="F107" s="560"/>
      <c r="G107" s="560"/>
      <c r="H107" s="560"/>
      <c r="I107" s="561"/>
      <c r="J107" s="221">
        <f>J106</f>
        <v>81.900000000000006</v>
      </c>
    </row>
    <row r="108" spans="1:10" x14ac:dyDescent="0.3">
      <c r="A108" s="215" t="str">
        <f>ORÇAMENTO!A44</f>
        <v>4.12</v>
      </c>
      <c r="B108" s="216" t="str">
        <f>ORÇAMENTO!B44</f>
        <v>GOINFRA</v>
      </c>
      <c r="C108" s="216">
        <f>ORÇAMENTO!C44</f>
        <v>52014</v>
      </c>
      <c r="D108" s="302" t="str">
        <f>ORÇAMENTO!D44</f>
        <v>ACO CA-60 - 5,0 MM - (OBRAS CIVIS)</v>
      </c>
      <c r="E108" s="216" t="str">
        <f>ORÇAMENTO!F42</f>
        <v xml:space="preserve"> Kg </v>
      </c>
      <c r="F108" s="562" t="s">
        <v>326</v>
      </c>
      <c r="G108" s="562"/>
      <c r="H108" s="562"/>
      <c r="I108" s="562"/>
      <c r="J108" s="229" t="s">
        <v>65</v>
      </c>
    </row>
    <row r="109" spans="1:10" x14ac:dyDescent="0.3">
      <c r="A109" s="162"/>
      <c r="B109" s="59"/>
      <c r="C109" s="60"/>
      <c r="D109" s="52" t="s">
        <v>1068</v>
      </c>
      <c r="E109" s="60"/>
      <c r="F109" s="598" t="s">
        <v>1070</v>
      </c>
      <c r="G109" s="598"/>
      <c r="H109" s="598"/>
      <c r="I109" s="598"/>
      <c r="J109" s="53">
        <f>109.4+437.36</f>
        <v>546.76</v>
      </c>
    </row>
    <row r="110" spans="1:10" x14ac:dyDescent="0.3">
      <c r="A110" s="162"/>
      <c r="B110" s="59"/>
      <c r="C110" s="60"/>
      <c r="D110" s="52" t="s">
        <v>1071</v>
      </c>
      <c r="E110" s="60"/>
      <c r="F110" s="579" t="s">
        <v>1073</v>
      </c>
      <c r="G110" s="580"/>
      <c r="H110" s="580"/>
      <c r="I110" s="581"/>
      <c r="J110" s="53">
        <f>36.96+22.6</f>
        <v>59.56</v>
      </c>
    </row>
    <row r="111" spans="1:10" x14ac:dyDescent="0.3">
      <c r="A111" s="162"/>
      <c r="B111" s="59"/>
      <c r="C111" s="60"/>
      <c r="D111" s="52" t="s">
        <v>1076</v>
      </c>
      <c r="E111" s="60"/>
      <c r="F111" s="579">
        <v>143</v>
      </c>
      <c r="G111" s="580"/>
      <c r="H111" s="580"/>
      <c r="I111" s="581"/>
      <c r="J111" s="53">
        <f>F111</f>
        <v>143</v>
      </c>
    </row>
    <row r="112" spans="1:10" x14ac:dyDescent="0.3">
      <c r="A112" s="119"/>
      <c r="B112" s="12"/>
      <c r="C112" s="13"/>
      <c r="D112" s="52" t="s">
        <v>1077</v>
      </c>
      <c r="E112" s="13"/>
      <c r="F112" s="598" t="s">
        <v>1119</v>
      </c>
      <c r="G112" s="598"/>
      <c r="H112" s="598"/>
      <c r="I112" s="598"/>
      <c r="J112" s="53">
        <f>135.9+105.4+40.8</f>
        <v>282.10000000000002</v>
      </c>
    </row>
    <row r="113" spans="1:10" x14ac:dyDescent="0.3">
      <c r="A113" s="161"/>
      <c r="B113" s="55"/>
      <c r="C113" s="56"/>
      <c r="D113" s="52" t="s">
        <v>1081</v>
      </c>
      <c r="E113" s="56"/>
      <c r="F113" s="579">
        <v>14.5</v>
      </c>
      <c r="G113" s="580"/>
      <c r="H113" s="580"/>
      <c r="I113" s="581"/>
      <c r="J113" s="240">
        <f>F113</f>
        <v>14.5</v>
      </c>
    </row>
    <row r="114" spans="1:10" ht="15" thickBot="1" x14ac:dyDescent="0.35">
      <c r="A114" s="575" t="s">
        <v>58</v>
      </c>
      <c r="B114" s="576"/>
      <c r="C114" s="576"/>
      <c r="D114" s="576"/>
      <c r="E114" s="576"/>
      <c r="F114" s="576"/>
      <c r="G114" s="576"/>
      <c r="H114" s="576"/>
      <c r="I114" s="576"/>
      <c r="J114" s="221">
        <f>SUM(J109:J113)</f>
        <v>1045.92</v>
      </c>
    </row>
    <row r="115" spans="1:10" ht="15" thickBot="1" x14ac:dyDescent="0.35">
      <c r="A115" s="582" t="s">
        <v>25</v>
      </c>
      <c r="B115" s="583"/>
      <c r="C115" s="583"/>
      <c r="D115" s="583"/>
      <c r="E115" s="583"/>
      <c r="F115" s="583"/>
      <c r="G115" s="583"/>
      <c r="H115" s="583"/>
      <c r="I115" s="583"/>
      <c r="J115" s="584"/>
    </row>
    <row r="116" spans="1:10" x14ac:dyDescent="0.3">
      <c r="A116" s="309">
        <v>5</v>
      </c>
      <c r="B116" s="310" t="s">
        <v>23</v>
      </c>
      <c r="C116" s="311">
        <v>60000</v>
      </c>
      <c r="D116" s="624" t="s">
        <v>26</v>
      </c>
      <c r="E116" s="625"/>
      <c r="F116" s="625"/>
      <c r="G116" s="625"/>
      <c r="H116" s="625"/>
      <c r="I116" s="625"/>
      <c r="J116" s="312"/>
    </row>
    <row r="117" spans="1:10" x14ac:dyDescent="0.3">
      <c r="A117" s="119" t="str">
        <f>ORÇAMENTO!A48</f>
        <v>5.1</v>
      </c>
      <c r="B117" s="12" t="str">
        <f>ORÇAMENTO!B48</f>
        <v>GOINFRA</v>
      </c>
      <c r="C117" s="13">
        <f>ORÇAMENTO!C48</f>
        <v>60010</v>
      </c>
      <c r="D117" s="52" t="str">
        <f>ORÇAMENTO!D48</f>
        <v>VERGA/CONTRAVERGA EM CONCRETO ARMADO FCK = 20 MPA</v>
      </c>
      <c r="E117" s="13" t="str">
        <f>ORÇAMENTO!F48</f>
        <v xml:space="preserve"> m3 </v>
      </c>
      <c r="F117" s="153" t="s">
        <v>67</v>
      </c>
      <c r="G117" s="153" t="s">
        <v>1087</v>
      </c>
      <c r="H117" s="68" t="s">
        <v>71</v>
      </c>
      <c r="I117" s="68" t="s">
        <v>79</v>
      </c>
      <c r="J117" s="62" t="s">
        <v>65</v>
      </c>
    </row>
    <row r="118" spans="1:10" x14ac:dyDescent="0.3">
      <c r="A118" s="119"/>
      <c r="B118" s="12"/>
      <c r="C118" s="13"/>
      <c r="D118" s="52" t="s">
        <v>347</v>
      </c>
      <c r="E118" s="13"/>
      <c r="F118" s="153">
        <v>19</v>
      </c>
      <c r="G118" s="153">
        <v>0.8</v>
      </c>
      <c r="H118" s="68">
        <v>0.12</v>
      </c>
      <c r="I118" s="68">
        <v>0.2</v>
      </c>
      <c r="J118" s="62">
        <f>F118*(0.2+G118+0.2)*H118*I118</f>
        <v>0.54720000000000002</v>
      </c>
    </row>
    <row r="119" spans="1:10" x14ac:dyDescent="0.3">
      <c r="A119" s="119"/>
      <c r="B119" s="12"/>
      <c r="C119" s="13"/>
      <c r="D119" s="52" t="s">
        <v>1088</v>
      </c>
      <c r="E119" s="13"/>
      <c r="F119" s="153">
        <v>1</v>
      </c>
      <c r="G119" s="153">
        <v>0.7</v>
      </c>
      <c r="H119" s="68">
        <v>0.12</v>
      </c>
      <c r="I119" s="68">
        <v>0.2</v>
      </c>
      <c r="J119" s="62">
        <f t="shared" ref="J119:J122" si="7">F119*(0.2+G119+0.2)*H119*I119</f>
        <v>2.6399999999999996E-2</v>
      </c>
    </row>
    <row r="120" spans="1:10" x14ac:dyDescent="0.3">
      <c r="A120" s="119"/>
      <c r="B120" s="12"/>
      <c r="C120" s="13"/>
      <c r="D120" s="52" t="s">
        <v>1089</v>
      </c>
      <c r="E120" s="13"/>
      <c r="F120" s="153">
        <v>1</v>
      </c>
      <c r="G120" s="153">
        <v>1.5</v>
      </c>
      <c r="H120" s="68">
        <v>0.12</v>
      </c>
      <c r="I120" s="68">
        <v>0.2</v>
      </c>
      <c r="J120" s="62">
        <f t="shared" si="7"/>
        <v>4.5600000000000002E-2</v>
      </c>
    </row>
    <row r="121" spans="1:10" x14ac:dyDescent="0.3">
      <c r="A121" s="119"/>
      <c r="B121" s="12"/>
      <c r="C121" s="13"/>
      <c r="D121" s="52" t="s">
        <v>1090</v>
      </c>
      <c r="E121" s="13"/>
      <c r="F121" s="153">
        <v>1</v>
      </c>
      <c r="G121" s="153">
        <v>2</v>
      </c>
      <c r="H121" s="68">
        <v>0.12</v>
      </c>
      <c r="I121" s="68">
        <v>0.2</v>
      </c>
      <c r="J121" s="62">
        <f t="shared" si="7"/>
        <v>5.7600000000000012E-2</v>
      </c>
    </row>
    <row r="122" spans="1:10" x14ac:dyDescent="0.3">
      <c r="A122" s="119"/>
      <c r="B122" s="12"/>
      <c r="C122" s="13"/>
      <c r="D122" s="52" t="s">
        <v>1091</v>
      </c>
      <c r="E122" s="13"/>
      <c r="F122" s="153">
        <v>1</v>
      </c>
      <c r="G122" s="153">
        <v>2.4</v>
      </c>
      <c r="H122" s="68">
        <v>0.12</v>
      </c>
      <c r="I122" s="68">
        <v>0.2</v>
      </c>
      <c r="J122" s="62">
        <f t="shared" si="7"/>
        <v>6.720000000000001E-2</v>
      </c>
    </row>
    <row r="123" spans="1:10" x14ac:dyDescent="0.3">
      <c r="A123" s="119"/>
      <c r="B123" s="12"/>
      <c r="C123" s="13"/>
      <c r="D123" s="52" t="s">
        <v>1092</v>
      </c>
      <c r="E123" s="13"/>
      <c r="F123" s="153">
        <v>9</v>
      </c>
      <c r="G123" s="153">
        <v>0.6</v>
      </c>
      <c r="H123" s="68">
        <v>0.12</v>
      </c>
      <c r="I123" s="68">
        <v>0.2</v>
      </c>
      <c r="J123" s="62">
        <f>(F123*(0.2+G123+0.2)*H123*I123)*2</f>
        <v>0.43200000000000005</v>
      </c>
    </row>
    <row r="124" spans="1:10" x14ac:dyDescent="0.3">
      <c r="A124" s="119"/>
      <c r="B124" s="12"/>
      <c r="C124" s="13"/>
      <c r="D124" s="52" t="s">
        <v>1093</v>
      </c>
      <c r="E124" s="13"/>
      <c r="F124" s="153">
        <v>2</v>
      </c>
      <c r="G124" s="153">
        <v>0.7</v>
      </c>
      <c r="H124" s="68">
        <v>0.12</v>
      </c>
      <c r="I124" s="68">
        <v>0.2</v>
      </c>
      <c r="J124" s="62">
        <f t="shared" ref="J124:J127" si="8">(F124*(0.2+G124+0.2)*H124*I124)*2</f>
        <v>0.10559999999999999</v>
      </c>
    </row>
    <row r="125" spans="1:10" x14ac:dyDescent="0.3">
      <c r="A125" s="119"/>
      <c r="B125" s="12"/>
      <c r="C125" s="13"/>
      <c r="D125" s="52" t="s">
        <v>1094</v>
      </c>
      <c r="E125" s="13"/>
      <c r="F125" s="153">
        <v>5</v>
      </c>
      <c r="G125" s="153">
        <v>1.5</v>
      </c>
      <c r="H125" s="68">
        <v>0.12</v>
      </c>
      <c r="I125" s="68">
        <v>0.2</v>
      </c>
      <c r="J125" s="62">
        <f t="shared" si="8"/>
        <v>0.45599999999999996</v>
      </c>
    </row>
    <row r="126" spans="1:10" x14ac:dyDescent="0.3">
      <c r="A126" s="119"/>
      <c r="B126" s="12"/>
      <c r="C126" s="13"/>
      <c r="D126" s="52" t="s">
        <v>1095</v>
      </c>
      <c r="E126" s="13"/>
      <c r="F126" s="153">
        <v>6</v>
      </c>
      <c r="G126" s="153">
        <v>2.1</v>
      </c>
      <c r="H126" s="68">
        <v>0.12</v>
      </c>
      <c r="I126" s="68">
        <v>0.2</v>
      </c>
      <c r="J126" s="62">
        <f t="shared" si="8"/>
        <v>0.7200000000000002</v>
      </c>
    </row>
    <row r="127" spans="1:10" x14ac:dyDescent="0.3">
      <c r="A127" s="119"/>
      <c r="B127" s="12"/>
      <c r="C127" s="13"/>
      <c r="D127" s="52" t="s">
        <v>1096</v>
      </c>
      <c r="E127" s="13"/>
      <c r="F127" s="153">
        <v>2</v>
      </c>
      <c r="G127" s="153">
        <v>2.9</v>
      </c>
      <c r="H127" s="68">
        <v>0.12</v>
      </c>
      <c r="I127" s="68">
        <v>0.2</v>
      </c>
      <c r="J127" s="62">
        <f t="shared" si="8"/>
        <v>0.31680000000000003</v>
      </c>
    </row>
    <row r="128" spans="1:10" ht="15" thickBot="1" x14ac:dyDescent="0.35">
      <c r="A128" s="559" t="s">
        <v>58</v>
      </c>
      <c r="B128" s="560"/>
      <c r="C128" s="560"/>
      <c r="D128" s="560"/>
      <c r="E128" s="560"/>
      <c r="F128" s="560"/>
      <c r="G128" s="560"/>
      <c r="H128" s="560"/>
      <c r="I128" s="561"/>
      <c r="J128" s="221">
        <f>SUM(J118:J127)</f>
        <v>2.7744000000000004</v>
      </c>
    </row>
    <row r="129" spans="1:10" x14ac:dyDescent="0.3">
      <c r="A129" s="215" t="str">
        <f>ORÇAMENTO!A49</f>
        <v>5.2</v>
      </c>
      <c r="B129" s="218" t="str">
        <f>ORÇAMENTO!B49</f>
        <v>GOINFRA</v>
      </c>
      <c r="C129" s="216">
        <f>ORÇAMENTO!C49</f>
        <v>60203</v>
      </c>
      <c r="D129" s="219" t="str">
        <f>ORÇAMENTO!D49</f>
        <v xml:space="preserve">FORMA- CH.COMPENSADA 12 MM UTILIZAÇÃO 3 VEZES - (OBRAS CIVIS) </v>
      </c>
      <c r="E129" s="216" t="str">
        <f>ORÇAMENTO!F49</f>
        <v>m2</v>
      </c>
      <c r="F129" s="264" t="s">
        <v>790</v>
      </c>
      <c r="G129" s="570" t="s">
        <v>66</v>
      </c>
      <c r="H129" s="594"/>
      <c r="I129" s="571"/>
      <c r="J129" s="220" t="s">
        <v>65</v>
      </c>
    </row>
    <row r="130" spans="1:10" x14ac:dyDescent="0.3">
      <c r="A130" s="119"/>
      <c r="B130" s="12"/>
      <c r="C130" s="13"/>
      <c r="D130" s="52" t="s">
        <v>1098</v>
      </c>
      <c r="E130" s="13"/>
      <c r="F130" s="153">
        <v>2</v>
      </c>
      <c r="G130" s="579">
        <v>811</v>
      </c>
      <c r="H130" s="580"/>
      <c r="I130" s="581"/>
      <c r="J130" s="62">
        <f>G130/F130</f>
        <v>405.5</v>
      </c>
    </row>
    <row r="131" spans="1:10" x14ac:dyDescent="0.3">
      <c r="A131" s="119"/>
      <c r="B131" s="12"/>
      <c r="C131" s="13"/>
      <c r="D131" s="52" t="s">
        <v>1097</v>
      </c>
      <c r="E131" s="13"/>
      <c r="F131" s="153">
        <v>2</v>
      </c>
      <c r="G131" s="579">
        <v>252.9</v>
      </c>
      <c r="H131" s="580"/>
      <c r="I131" s="581"/>
      <c r="J131" s="62">
        <f>G131/F131</f>
        <v>126.45</v>
      </c>
    </row>
    <row r="132" spans="1:10" x14ac:dyDescent="0.3">
      <c r="A132" s="119"/>
      <c r="B132" s="12"/>
      <c r="C132" s="13"/>
      <c r="D132" s="52" t="s">
        <v>1100</v>
      </c>
      <c r="E132" s="13"/>
      <c r="F132" s="153">
        <v>2</v>
      </c>
      <c r="G132" s="579">
        <v>104.8</v>
      </c>
      <c r="H132" s="580"/>
      <c r="I132" s="581"/>
      <c r="J132" s="62">
        <f>G132/F132</f>
        <v>52.4</v>
      </c>
    </row>
    <row r="133" spans="1:10" x14ac:dyDescent="0.3">
      <c r="A133" s="119"/>
      <c r="B133" s="12"/>
      <c r="C133" s="13"/>
      <c r="D133" s="52" t="s">
        <v>1101</v>
      </c>
      <c r="E133" s="13"/>
      <c r="F133" s="153">
        <v>2</v>
      </c>
      <c r="G133" s="579">
        <v>40.299999999999997</v>
      </c>
      <c r="H133" s="580"/>
      <c r="I133" s="581"/>
      <c r="J133" s="62">
        <f>G133/F133</f>
        <v>20.149999999999999</v>
      </c>
    </row>
    <row r="134" spans="1:10" x14ac:dyDescent="0.3">
      <c r="A134" s="119"/>
      <c r="B134" s="12"/>
      <c r="C134" s="13"/>
      <c r="D134" s="52" t="s">
        <v>1102</v>
      </c>
      <c r="E134" s="13"/>
      <c r="F134" s="153">
        <v>2</v>
      </c>
      <c r="G134" s="579">
        <v>39.200000000000003</v>
      </c>
      <c r="H134" s="580"/>
      <c r="I134" s="581"/>
      <c r="J134" s="62">
        <f t="shared" ref="J134:J135" si="9">G134/F134</f>
        <v>19.600000000000001</v>
      </c>
    </row>
    <row r="135" spans="1:10" x14ac:dyDescent="0.3">
      <c r="A135" s="119"/>
      <c r="B135" s="12"/>
      <c r="C135" s="13"/>
      <c r="D135" s="52" t="s">
        <v>1103</v>
      </c>
      <c r="E135" s="13"/>
      <c r="F135" s="153">
        <v>2</v>
      </c>
      <c r="G135" s="579">
        <v>23.6</v>
      </c>
      <c r="H135" s="580"/>
      <c r="I135" s="581"/>
      <c r="J135" s="62">
        <f t="shared" si="9"/>
        <v>11.8</v>
      </c>
    </row>
    <row r="136" spans="1:10" x14ac:dyDescent="0.3">
      <c r="A136" s="119"/>
      <c r="B136" s="12"/>
      <c r="C136" s="13"/>
      <c r="D136" s="52" t="s">
        <v>1106</v>
      </c>
      <c r="E136" s="13"/>
      <c r="F136" s="153">
        <v>2</v>
      </c>
      <c r="G136" s="579" t="s">
        <v>1108</v>
      </c>
      <c r="H136" s="580"/>
      <c r="I136" s="581"/>
      <c r="J136" s="62">
        <f>(116.68+47.06)/2</f>
        <v>81.87</v>
      </c>
    </row>
    <row r="137" spans="1:10" x14ac:dyDescent="0.3">
      <c r="A137" s="119"/>
      <c r="B137" s="12"/>
      <c r="C137" s="13"/>
      <c r="D137" s="52" t="s">
        <v>1107</v>
      </c>
      <c r="E137" s="13"/>
      <c r="F137" s="153">
        <v>2</v>
      </c>
      <c r="G137" s="579" t="s">
        <v>1109</v>
      </c>
      <c r="H137" s="580"/>
      <c r="I137" s="581"/>
      <c r="J137" s="62">
        <f>(124.38+40.34)/2</f>
        <v>82.36</v>
      </c>
    </row>
    <row r="138" spans="1:10" ht="15" thickBot="1" x14ac:dyDescent="0.35">
      <c r="A138" s="559" t="s">
        <v>58</v>
      </c>
      <c r="B138" s="560"/>
      <c r="C138" s="560"/>
      <c r="D138" s="560"/>
      <c r="E138" s="560"/>
      <c r="F138" s="560"/>
      <c r="G138" s="560"/>
      <c r="H138" s="560"/>
      <c r="I138" s="561"/>
      <c r="J138" s="221">
        <f>SUM(J130:J137)</f>
        <v>800.13</v>
      </c>
    </row>
    <row r="139" spans="1:10" x14ac:dyDescent="0.3">
      <c r="A139" s="215" t="str">
        <f>ORÇAMENTO!A50</f>
        <v>5.3</v>
      </c>
      <c r="B139" s="218" t="str">
        <f>ORÇAMENTO!B50</f>
        <v>GOINFRA</v>
      </c>
      <c r="C139" s="216">
        <f>ORÇAMENTO!C50</f>
        <v>60303</v>
      </c>
      <c r="D139" s="219" t="str">
        <f>ORÇAMENTO!D50</f>
        <v xml:space="preserve">ACO CA-50-A - 6,3 MM (1/4") - (OBRAS CIVIS) </v>
      </c>
      <c r="E139" s="216" t="str">
        <f>ORÇAMENTO!F50</f>
        <v xml:space="preserve">Kg </v>
      </c>
      <c r="F139" s="570" t="s">
        <v>326</v>
      </c>
      <c r="G139" s="594"/>
      <c r="H139" s="594"/>
      <c r="I139" s="571"/>
      <c r="J139" s="220" t="s">
        <v>65</v>
      </c>
    </row>
    <row r="140" spans="1:10" x14ac:dyDescent="0.3">
      <c r="A140" s="119"/>
      <c r="B140" s="12"/>
      <c r="C140" s="13"/>
      <c r="D140" s="52" t="s">
        <v>1110</v>
      </c>
      <c r="E140" s="13"/>
      <c r="F140" s="579">
        <v>2</v>
      </c>
      <c r="G140" s="580"/>
      <c r="H140" s="580"/>
      <c r="I140" s="581"/>
      <c r="J140" s="62">
        <f>F140</f>
        <v>2</v>
      </c>
    </row>
    <row r="141" spans="1:10" x14ac:dyDescent="0.3">
      <c r="A141" s="119"/>
      <c r="B141" s="12"/>
      <c r="C141" s="13"/>
      <c r="D141" s="52" t="s">
        <v>1112</v>
      </c>
      <c r="E141" s="13"/>
      <c r="F141" s="580">
        <v>0.8</v>
      </c>
      <c r="G141" s="580"/>
      <c r="H141" s="580"/>
      <c r="I141" s="581"/>
      <c r="J141" s="62">
        <f>F141</f>
        <v>0.8</v>
      </c>
    </row>
    <row r="142" spans="1:10" ht="15" thickBot="1" x14ac:dyDescent="0.35">
      <c r="A142" s="559" t="s">
        <v>58</v>
      </c>
      <c r="B142" s="560"/>
      <c r="C142" s="560"/>
      <c r="D142" s="560"/>
      <c r="E142" s="560"/>
      <c r="F142" s="560"/>
      <c r="G142" s="560"/>
      <c r="H142" s="560"/>
      <c r="I142" s="561"/>
      <c r="J142" s="221">
        <f>SUM(J140:J141)</f>
        <v>2.8</v>
      </c>
    </row>
    <row r="143" spans="1:10" x14ac:dyDescent="0.3">
      <c r="A143" s="215" t="str">
        <f>ORÇAMENTO!A51</f>
        <v>5.4</v>
      </c>
      <c r="B143" s="218" t="str">
        <f>ORÇAMENTO!B51</f>
        <v>GOINFRA</v>
      </c>
      <c r="C143" s="216">
        <f>ORÇAMENTO!C51</f>
        <v>60304</v>
      </c>
      <c r="D143" s="228" t="str">
        <f>ORÇAMENTO!D51</f>
        <v>ACO CA-50 A - 8,0 MM (5/16") - (OBRAS CIVIS)</v>
      </c>
      <c r="E143" s="216" t="str">
        <f>ORÇAMENTO!F51</f>
        <v xml:space="preserve"> Kg </v>
      </c>
      <c r="F143" s="570" t="s">
        <v>326</v>
      </c>
      <c r="G143" s="594"/>
      <c r="H143" s="594"/>
      <c r="I143" s="571"/>
      <c r="J143" s="220" t="s">
        <v>65</v>
      </c>
    </row>
    <row r="144" spans="1:10" x14ac:dyDescent="0.3">
      <c r="A144" s="119"/>
      <c r="B144" s="12"/>
      <c r="C144" s="13"/>
      <c r="D144" s="52" t="s">
        <v>1110</v>
      </c>
      <c r="E144" s="13"/>
      <c r="F144" s="579">
        <v>1474.5</v>
      </c>
      <c r="G144" s="580"/>
      <c r="H144" s="580"/>
      <c r="I144" s="581"/>
      <c r="J144" s="62">
        <f>F144</f>
        <v>1474.5</v>
      </c>
    </row>
    <row r="145" spans="1:10" x14ac:dyDescent="0.3">
      <c r="A145" s="119"/>
      <c r="B145" s="12"/>
      <c r="C145" s="13"/>
      <c r="D145" s="52" t="s">
        <v>1112</v>
      </c>
      <c r="E145" s="13"/>
      <c r="F145" s="579">
        <v>187.6</v>
      </c>
      <c r="G145" s="580"/>
      <c r="H145" s="580"/>
      <c r="I145" s="581"/>
      <c r="J145" s="62">
        <f>F145</f>
        <v>187.6</v>
      </c>
    </row>
    <row r="146" spans="1:10" x14ac:dyDescent="0.3">
      <c r="A146" s="119"/>
      <c r="B146" s="12"/>
      <c r="C146" s="13"/>
      <c r="D146" s="52" t="s">
        <v>1114</v>
      </c>
      <c r="E146" s="13"/>
      <c r="F146" s="579">
        <v>93.4</v>
      </c>
      <c r="G146" s="580"/>
      <c r="H146" s="580"/>
      <c r="I146" s="581"/>
      <c r="J146" s="62">
        <f t="shared" ref="J146:J148" si="10">F146</f>
        <v>93.4</v>
      </c>
    </row>
    <row r="147" spans="1:10" x14ac:dyDescent="0.3">
      <c r="A147" s="119"/>
      <c r="B147" s="12"/>
      <c r="C147" s="13"/>
      <c r="D147" s="52" t="s">
        <v>1116</v>
      </c>
      <c r="E147" s="13"/>
      <c r="F147" s="579">
        <v>239.5</v>
      </c>
      <c r="G147" s="580"/>
      <c r="H147" s="580"/>
      <c r="I147" s="581"/>
      <c r="J147" s="62">
        <f t="shared" si="10"/>
        <v>239.5</v>
      </c>
    </row>
    <row r="148" spans="1:10" x14ac:dyDescent="0.3">
      <c r="A148" s="212"/>
      <c r="B148" s="299"/>
      <c r="C148" s="298"/>
      <c r="D148" s="52" t="s">
        <v>1117</v>
      </c>
      <c r="E148" s="298"/>
      <c r="F148" s="580">
        <v>106.3</v>
      </c>
      <c r="G148" s="580"/>
      <c r="H148" s="580"/>
      <c r="I148" s="581"/>
      <c r="J148" s="62">
        <f t="shared" si="10"/>
        <v>106.3</v>
      </c>
    </row>
    <row r="149" spans="1:10" ht="15" thickBot="1" x14ac:dyDescent="0.35">
      <c r="A149" s="559" t="s">
        <v>58</v>
      </c>
      <c r="B149" s="560"/>
      <c r="C149" s="560"/>
      <c r="D149" s="560"/>
      <c r="E149" s="560"/>
      <c r="F149" s="560"/>
      <c r="G149" s="560"/>
      <c r="H149" s="560"/>
      <c r="I149" s="561"/>
      <c r="J149" s="221">
        <f>SUM(J144:J148)</f>
        <v>2101.3000000000002</v>
      </c>
    </row>
    <row r="150" spans="1:10" x14ac:dyDescent="0.3">
      <c r="A150" s="215" t="str">
        <f>ORÇAMENTO!A52</f>
        <v>5.5</v>
      </c>
      <c r="B150" s="218" t="str">
        <f>ORÇAMENTO!B52</f>
        <v>GOINFRA</v>
      </c>
      <c r="C150" s="216">
        <f>ORÇAMENTO!C52</f>
        <v>60305</v>
      </c>
      <c r="D150" s="219" t="str">
        <f>ORÇAMENTO!D52</f>
        <v xml:space="preserve">ACO CA-50A - 10,0 MM (3/8") - (OBRAS CIVIS) </v>
      </c>
      <c r="E150" s="216" t="str">
        <f>ORÇAMENTO!F52</f>
        <v xml:space="preserve">Kg </v>
      </c>
      <c r="F150" s="570" t="s">
        <v>326</v>
      </c>
      <c r="G150" s="594"/>
      <c r="H150" s="594"/>
      <c r="I150" s="571"/>
      <c r="J150" s="220" t="s">
        <v>65</v>
      </c>
    </row>
    <row r="151" spans="1:10" x14ac:dyDescent="0.3">
      <c r="A151" s="119"/>
      <c r="B151" s="12"/>
      <c r="C151" s="13"/>
      <c r="D151" s="52" t="s">
        <v>1110</v>
      </c>
      <c r="E151" s="13"/>
      <c r="F151" s="579">
        <v>238.7</v>
      </c>
      <c r="G151" s="580"/>
      <c r="H151" s="580"/>
      <c r="I151" s="581"/>
      <c r="J151" s="62">
        <f>F151</f>
        <v>238.7</v>
      </c>
    </row>
    <row r="152" spans="1:10" x14ac:dyDescent="0.3">
      <c r="A152" s="119"/>
      <c r="B152" s="12"/>
      <c r="C152" s="13"/>
      <c r="D152" s="52" t="s">
        <v>1111</v>
      </c>
      <c r="E152" s="13"/>
      <c r="F152" s="579">
        <v>1100.0999999999999</v>
      </c>
      <c r="G152" s="580"/>
      <c r="H152" s="580"/>
      <c r="I152" s="581"/>
      <c r="J152" s="62">
        <f>F152</f>
        <v>1100.0999999999999</v>
      </c>
    </row>
    <row r="153" spans="1:10" x14ac:dyDescent="0.3">
      <c r="A153" s="119"/>
      <c r="B153" s="12"/>
      <c r="C153" s="13"/>
      <c r="D153" s="52" t="s">
        <v>1112</v>
      </c>
      <c r="E153" s="13"/>
      <c r="F153" s="579">
        <v>59</v>
      </c>
      <c r="G153" s="580"/>
      <c r="H153" s="580"/>
      <c r="I153" s="581"/>
      <c r="J153" s="62">
        <f t="shared" ref="J153:J154" si="11">F153</f>
        <v>59</v>
      </c>
    </row>
    <row r="154" spans="1:10" x14ac:dyDescent="0.3">
      <c r="A154" s="119"/>
      <c r="B154" s="12"/>
      <c r="C154" s="13"/>
      <c r="D154" s="52" t="s">
        <v>1113</v>
      </c>
      <c r="E154" s="13"/>
      <c r="F154" s="579">
        <v>163.69999999999999</v>
      </c>
      <c r="G154" s="580"/>
      <c r="H154" s="580"/>
      <c r="I154" s="581"/>
      <c r="J154" s="62">
        <f t="shared" si="11"/>
        <v>163.69999999999999</v>
      </c>
    </row>
    <row r="155" spans="1:10" x14ac:dyDescent="0.3">
      <c r="A155" s="119"/>
      <c r="B155" s="12"/>
      <c r="C155" s="13"/>
      <c r="D155" s="52" t="s">
        <v>1115</v>
      </c>
      <c r="E155" s="13"/>
      <c r="F155" s="579">
        <v>83.3</v>
      </c>
      <c r="G155" s="580"/>
      <c r="H155" s="580"/>
      <c r="I155" s="581"/>
      <c r="J155" s="62">
        <f>F155</f>
        <v>83.3</v>
      </c>
    </row>
    <row r="156" spans="1:10" x14ac:dyDescent="0.3">
      <c r="A156" s="119"/>
      <c r="B156" s="12"/>
      <c r="C156" s="13"/>
      <c r="D156" s="52" t="s">
        <v>1116</v>
      </c>
      <c r="E156" s="13"/>
      <c r="F156" s="598">
        <v>12.2</v>
      </c>
      <c r="G156" s="598"/>
      <c r="H156" s="598"/>
      <c r="I156" s="598"/>
      <c r="J156" s="62">
        <f>F156</f>
        <v>12.2</v>
      </c>
    </row>
    <row r="157" spans="1:10" x14ac:dyDescent="0.3">
      <c r="A157" s="119"/>
      <c r="B157" s="12"/>
      <c r="C157" s="13"/>
      <c r="D157" s="52" t="s">
        <v>1117</v>
      </c>
      <c r="E157" s="13"/>
      <c r="F157" s="598">
        <v>419</v>
      </c>
      <c r="G157" s="598"/>
      <c r="H157" s="598"/>
      <c r="I157" s="598"/>
      <c r="J157" s="62">
        <f>F157</f>
        <v>419</v>
      </c>
    </row>
    <row r="158" spans="1:10" ht="15" thickBot="1" x14ac:dyDescent="0.35">
      <c r="A158" s="559" t="s">
        <v>58</v>
      </c>
      <c r="B158" s="560"/>
      <c r="C158" s="560"/>
      <c r="D158" s="560"/>
      <c r="E158" s="560"/>
      <c r="F158" s="560"/>
      <c r="G158" s="560"/>
      <c r="H158" s="560"/>
      <c r="I158" s="561"/>
      <c r="J158" s="221">
        <f>SUM(J151:J157)</f>
        <v>2076</v>
      </c>
    </row>
    <row r="159" spans="1:10" x14ac:dyDescent="0.3">
      <c r="A159" s="215" t="str">
        <f>ORÇAMENTO!A53</f>
        <v>5.6</v>
      </c>
      <c r="B159" s="218" t="str">
        <f>ORÇAMENTO!B53</f>
        <v>GOINFRA</v>
      </c>
      <c r="C159" s="216">
        <f>ORÇAMENTO!C53</f>
        <v>60306</v>
      </c>
      <c r="D159" s="219" t="str">
        <f>ORÇAMENTO!D53</f>
        <v xml:space="preserve">ACO CA-50A - 12,5 MM (1/2") - (OBRAS CIVIS) </v>
      </c>
      <c r="E159" s="216" t="str">
        <f>ORÇAMENTO!F53</f>
        <v xml:space="preserve">Kg </v>
      </c>
      <c r="F159" s="570" t="s">
        <v>326</v>
      </c>
      <c r="G159" s="594"/>
      <c r="H159" s="594"/>
      <c r="I159" s="571"/>
      <c r="J159" s="229" t="s">
        <v>65</v>
      </c>
    </row>
    <row r="160" spans="1:10" x14ac:dyDescent="0.3">
      <c r="A160" s="119"/>
      <c r="B160" s="12"/>
      <c r="C160" s="13"/>
      <c r="D160" s="52" t="s">
        <v>1110</v>
      </c>
      <c r="E160" s="13"/>
      <c r="F160" s="579">
        <v>632.1</v>
      </c>
      <c r="G160" s="580"/>
      <c r="H160" s="580"/>
      <c r="I160" s="581"/>
      <c r="J160" s="53">
        <f>F160</f>
        <v>632.1</v>
      </c>
    </row>
    <row r="161" spans="1:10" x14ac:dyDescent="0.3">
      <c r="A161" s="212"/>
      <c r="B161" s="299"/>
      <c r="C161" s="298"/>
      <c r="D161" s="52" t="s">
        <v>1111</v>
      </c>
      <c r="E161" s="298"/>
      <c r="F161" s="580">
        <v>120.3</v>
      </c>
      <c r="G161" s="580"/>
      <c r="H161" s="580"/>
      <c r="I161" s="581"/>
      <c r="J161" s="53">
        <f>F161</f>
        <v>120.3</v>
      </c>
    </row>
    <row r="162" spans="1:10" x14ac:dyDescent="0.3">
      <c r="A162" s="212"/>
      <c r="B162" s="299"/>
      <c r="C162" s="298"/>
      <c r="D162" s="52" t="s">
        <v>1113</v>
      </c>
      <c r="E162" s="298"/>
      <c r="F162" s="580">
        <v>18.5</v>
      </c>
      <c r="G162" s="580"/>
      <c r="H162" s="580"/>
      <c r="I162" s="581"/>
      <c r="J162" s="53">
        <f>F162</f>
        <v>18.5</v>
      </c>
    </row>
    <row r="163" spans="1:10" ht="15" thickBot="1" x14ac:dyDescent="0.35">
      <c r="A163" s="559" t="s">
        <v>58</v>
      </c>
      <c r="B163" s="560"/>
      <c r="C163" s="560"/>
      <c r="D163" s="560"/>
      <c r="E163" s="560"/>
      <c r="F163" s="560"/>
      <c r="G163" s="560"/>
      <c r="H163" s="560"/>
      <c r="I163" s="561"/>
      <c r="J163" s="221">
        <f>SUM(J160:J162)</f>
        <v>770.9</v>
      </c>
    </row>
    <row r="164" spans="1:10" x14ac:dyDescent="0.3">
      <c r="A164" s="314" t="str">
        <f>ORÇAMENTO!A54</f>
        <v>5.7</v>
      </c>
      <c r="B164" s="315" t="str">
        <f>ORÇAMENTO!B54</f>
        <v>GOINFRA</v>
      </c>
      <c r="C164" s="316">
        <f>ORÇAMENTO!C54</f>
        <v>60314</v>
      </c>
      <c r="D164" s="317" t="str">
        <f>ORÇAMENTO!D54</f>
        <v xml:space="preserve">ACO CA - 60 - 5,0 MM - (OBRAS CIVIS) </v>
      </c>
      <c r="E164" s="316" t="str">
        <f>ORÇAMENTO!F54</f>
        <v xml:space="preserve">Kg </v>
      </c>
      <c r="F164" s="570" t="s">
        <v>326</v>
      </c>
      <c r="G164" s="594"/>
      <c r="H164" s="594"/>
      <c r="I164" s="571"/>
      <c r="J164" s="229" t="s">
        <v>65</v>
      </c>
    </row>
    <row r="165" spans="1:10" x14ac:dyDescent="0.3">
      <c r="A165" s="119"/>
      <c r="B165" s="12"/>
      <c r="C165" s="13"/>
      <c r="D165" s="52" t="s">
        <v>1110</v>
      </c>
      <c r="E165" s="13"/>
      <c r="F165" s="598">
        <v>746.2</v>
      </c>
      <c r="G165" s="598"/>
      <c r="H165" s="598"/>
      <c r="I165" s="598"/>
      <c r="J165" s="62">
        <f>F165</f>
        <v>746.2</v>
      </c>
    </row>
    <row r="166" spans="1:10" x14ac:dyDescent="0.3">
      <c r="A166" s="119"/>
      <c r="B166" s="12"/>
      <c r="C166" s="13"/>
      <c r="D166" s="52" t="s">
        <v>1111</v>
      </c>
      <c r="E166" s="13"/>
      <c r="F166" s="598">
        <v>399.4</v>
      </c>
      <c r="G166" s="598"/>
      <c r="H166" s="598"/>
      <c r="I166" s="598"/>
      <c r="J166" s="62">
        <f>F166</f>
        <v>399.4</v>
      </c>
    </row>
    <row r="167" spans="1:10" x14ac:dyDescent="0.3">
      <c r="A167" s="119"/>
      <c r="B167" s="12"/>
      <c r="C167" s="13"/>
      <c r="D167" s="52" t="s">
        <v>1112</v>
      </c>
      <c r="E167" s="13"/>
      <c r="F167" s="598">
        <v>94.4</v>
      </c>
      <c r="G167" s="598"/>
      <c r="H167" s="598"/>
      <c r="I167" s="598"/>
      <c r="J167" s="62">
        <f t="shared" ref="J167:J169" si="12">F167</f>
        <v>94.4</v>
      </c>
    </row>
    <row r="168" spans="1:10" x14ac:dyDescent="0.3">
      <c r="A168" s="119"/>
      <c r="B168" s="12"/>
      <c r="C168" s="13"/>
      <c r="D168" s="52" t="s">
        <v>1113</v>
      </c>
      <c r="E168" s="13"/>
      <c r="F168" s="598">
        <v>61.3</v>
      </c>
      <c r="G168" s="598"/>
      <c r="H168" s="598"/>
      <c r="I168" s="598"/>
      <c r="J168" s="62">
        <f t="shared" si="12"/>
        <v>61.3</v>
      </c>
    </row>
    <row r="169" spans="1:10" x14ac:dyDescent="0.3">
      <c r="A169" s="119"/>
      <c r="B169" s="12"/>
      <c r="C169" s="13"/>
      <c r="D169" s="52" t="s">
        <v>1116</v>
      </c>
      <c r="E169" s="13"/>
      <c r="F169" s="598">
        <v>101.9</v>
      </c>
      <c r="G169" s="598"/>
      <c r="H169" s="598"/>
      <c r="I169" s="598"/>
      <c r="J169" s="62">
        <f t="shared" si="12"/>
        <v>101.9</v>
      </c>
    </row>
    <row r="170" spans="1:10" x14ac:dyDescent="0.3">
      <c r="A170" s="119"/>
      <c r="B170" s="12"/>
      <c r="C170" s="13"/>
      <c r="D170" s="52" t="s">
        <v>1117</v>
      </c>
      <c r="E170" s="13"/>
      <c r="F170" s="581" t="s">
        <v>1120</v>
      </c>
      <c r="G170" s="598"/>
      <c r="H170" s="598"/>
      <c r="I170" s="598"/>
      <c r="J170" s="62">
        <f>176+40.8</f>
        <v>216.8</v>
      </c>
    </row>
    <row r="171" spans="1:10" x14ac:dyDescent="0.3">
      <c r="A171" s="212"/>
      <c r="B171" s="299"/>
      <c r="C171" s="298"/>
      <c r="D171" s="52" t="s">
        <v>1114</v>
      </c>
      <c r="E171" s="13"/>
      <c r="F171" s="580">
        <v>40.4</v>
      </c>
      <c r="G171" s="580"/>
      <c r="H171" s="580"/>
      <c r="I171" s="581"/>
      <c r="J171" s="62">
        <f>F171</f>
        <v>40.4</v>
      </c>
    </row>
    <row r="172" spans="1:10" x14ac:dyDescent="0.3">
      <c r="A172" s="212"/>
      <c r="B172" s="299"/>
      <c r="C172" s="298"/>
      <c r="D172" s="52" t="s">
        <v>1115</v>
      </c>
      <c r="E172" s="13"/>
      <c r="F172" s="580">
        <v>33</v>
      </c>
      <c r="G172" s="580"/>
      <c r="H172" s="580"/>
      <c r="I172" s="581"/>
      <c r="J172" s="62">
        <f>F172</f>
        <v>33</v>
      </c>
    </row>
    <row r="173" spans="1:10" ht="15" thickBot="1" x14ac:dyDescent="0.35">
      <c r="A173" s="572" t="s">
        <v>58</v>
      </c>
      <c r="B173" s="573"/>
      <c r="C173" s="573"/>
      <c r="D173" s="573"/>
      <c r="E173" s="573"/>
      <c r="F173" s="573"/>
      <c r="G173" s="573"/>
      <c r="H173" s="573"/>
      <c r="I173" s="574"/>
      <c r="J173" s="166">
        <f>SUM(J165:J172)</f>
        <v>1693.4</v>
      </c>
    </row>
    <row r="174" spans="1:10" x14ac:dyDescent="0.3">
      <c r="A174" s="215" t="str">
        <f>ORÇAMENTO!A55</f>
        <v>5.8</v>
      </c>
      <c r="B174" s="216" t="str">
        <f>ORÇAMENTO!B55</f>
        <v>GOINFRA</v>
      </c>
      <c r="C174" s="216">
        <f>ORÇAMENTO!C55</f>
        <v>51036</v>
      </c>
      <c r="D174" s="227" t="str">
        <f>ORÇAMENTO!D55</f>
        <v>CONCRETO USINADO BOMBEÁVEL FCK=25 MPA (O.C.)</v>
      </c>
      <c r="E174" s="216" t="str">
        <f>ORÇAMENTO!F55</f>
        <v xml:space="preserve">m3 </v>
      </c>
      <c r="F174" s="577" t="s">
        <v>346</v>
      </c>
      <c r="G174" s="577"/>
      <c r="H174" s="577"/>
      <c r="I174" s="577"/>
      <c r="J174" s="229" t="s">
        <v>65</v>
      </c>
    </row>
    <row r="175" spans="1:10" x14ac:dyDescent="0.3">
      <c r="A175" s="119"/>
      <c r="B175" s="13"/>
      <c r="C175" s="13"/>
      <c r="D175" s="52" t="s">
        <v>1121</v>
      </c>
      <c r="E175" s="13"/>
      <c r="F175" s="578">
        <v>47.3</v>
      </c>
      <c r="G175" s="578"/>
      <c r="H175" s="578"/>
      <c r="I175" s="578"/>
      <c r="J175" s="53">
        <f>F175</f>
        <v>47.3</v>
      </c>
    </row>
    <row r="176" spans="1:10" x14ac:dyDescent="0.3">
      <c r="A176" s="119"/>
      <c r="B176" s="13"/>
      <c r="C176" s="13"/>
      <c r="D176" s="52" t="s">
        <v>1122</v>
      </c>
      <c r="E176" s="13"/>
      <c r="F176" s="578">
        <v>12.5</v>
      </c>
      <c r="G176" s="578"/>
      <c r="H176" s="578"/>
      <c r="I176" s="578"/>
      <c r="J176" s="53">
        <f t="shared" ref="J176:J178" si="13">F176</f>
        <v>12.5</v>
      </c>
    </row>
    <row r="177" spans="1:10" x14ac:dyDescent="0.3">
      <c r="A177" s="119"/>
      <c r="B177" s="13"/>
      <c r="C177" s="13"/>
      <c r="D177" s="52" t="s">
        <v>1123</v>
      </c>
      <c r="E177" s="13"/>
      <c r="F177" s="578">
        <v>6.1</v>
      </c>
      <c r="G177" s="578"/>
      <c r="H177" s="578"/>
      <c r="I177" s="578"/>
      <c r="J177" s="53">
        <f t="shared" si="13"/>
        <v>6.1</v>
      </c>
    </row>
    <row r="178" spans="1:10" x14ac:dyDescent="0.3">
      <c r="A178" s="119"/>
      <c r="B178" s="13"/>
      <c r="C178" s="13"/>
      <c r="D178" s="52" t="s">
        <v>1124</v>
      </c>
      <c r="E178" s="13"/>
      <c r="F178" s="578">
        <v>1.9</v>
      </c>
      <c r="G178" s="578"/>
      <c r="H178" s="578"/>
      <c r="I178" s="578"/>
      <c r="J178" s="53">
        <f t="shared" si="13"/>
        <v>1.9</v>
      </c>
    </row>
    <row r="179" spans="1:10" x14ac:dyDescent="0.3">
      <c r="A179" s="119"/>
      <c r="B179" s="13"/>
      <c r="C179" s="13"/>
      <c r="D179" s="52" t="s">
        <v>1125</v>
      </c>
      <c r="E179" s="13"/>
      <c r="F179" s="578" t="s">
        <v>1129</v>
      </c>
      <c r="G179" s="578"/>
      <c r="H179" s="578"/>
      <c r="I179" s="578"/>
      <c r="J179" s="53">
        <f>6.85+2.77</f>
        <v>9.6199999999999992</v>
      </c>
    </row>
    <row r="180" spans="1:10" x14ac:dyDescent="0.3">
      <c r="A180" s="119"/>
      <c r="B180" s="13"/>
      <c r="C180" s="13"/>
      <c r="D180" s="52" t="s">
        <v>1126</v>
      </c>
      <c r="E180" s="13"/>
      <c r="F180" s="578" t="s">
        <v>1130</v>
      </c>
      <c r="G180" s="578"/>
      <c r="H180" s="578"/>
      <c r="I180" s="578"/>
      <c r="J180" s="53">
        <f>6.59+2.29</f>
        <v>8.879999999999999</v>
      </c>
    </row>
    <row r="181" spans="1:10" x14ac:dyDescent="0.3">
      <c r="A181" s="119"/>
      <c r="B181" s="12"/>
      <c r="C181" s="13"/>
      <c r="D181" s="52" t="s">
        <v>1127</v>
      </c>
      <c r="E181" s="13"/>
      <c r="F181" s="598">
        <v>2.2000000000000002</v>
      </c>
      <c r="G181" s="598"/>
      <c r="H181" s="598"/>
      <c r="I181" s="598"/>
      <c r="J181" s="53">
        <f>F181</f>
        <v>2.2000000000000002</v>
      </c>
    </row>
    <row r="182" spans="1:10" x14ac:dyDescent="0.3">
      <c r="A182" s="119"/>
      <c r="B182" s="12"/>
      <c r="C182" s="13"/>
      <c r="D182" s="52" t="s">
        <v>1128</v>
      </c>
      <c r="E182" s="13"/>
      <c r="F182" s="578">
        <v>1.1000000000000001</v>
      </c>
      <c r="G182" s="578"/>
      <c r="H182" s="578"/>
      <c r="I182" s="578"/>
      <c r="J182" s="53">
        <f>F182</f>
        <v>1.1000000000000001</v>
      </c>
    </row>
    <row r="183" spans="1:10" ht="15" thickBot="1" x14ac:dyDescent="0.35">
      <c r="A183" s="633" t="s">
        <v>58</v>
      </c>
      <c r="B183" s="634"/>
      <c r="C183" s="634"/>
      <c r="D183" s="634"/>
      <c r="E183" s="634"/>
      <c r="F183" s="634"/>
      <c r="G183" s="634"/>
      <c r="H183" s="634"/>
      <c r="I183" s="634"/>
      <c r="J183" s="166">
        <f>SUM(J175:J182)</f>
        <v>89.6</v>
      </c>
    </row>
    <row r="184" spans="1:10" x14ac:dyDescent="0.3">
      <c r="A184" s="215" t="str">
        <f>ORÇAMENTO!A56</f>
        <v>5.9</v>
      </c>
      <c r="B184" s="216" t="str">
        <f>ORÇAMENTO!B56</f>
        <v>GOINFRA</v>
      </c>
      <c r="C184" s="216">
        <f>ORÇAMENTO!C56</f>
        <v>60800</v>
      </c>
      <c r="D184" s="227" t="str">
        <f>ORÇAMENTO!D56</f>
        <v>LANÇAMENTO/APLICAÇÃO/ADENSAMENTO DE CONCRETO USINADO BOMBEADO EM ESTRUTURA - (O.C.)</v>
      </c>
      <c r="E184" s="216" t="str">
        <f>ORÇAMENTO!F55</f>
        <v xml:space="preserve">m3 </v>
      </c>
      <c r="F184" s="562" t="s">
        <v>346</v>
      </c>
      <c r="G184" s="562"/>
      <c r="H184" s="562"/>
      <c r="I184" s="562"/>
      <c r="J184" s="229" t="s">
        <v>65</v>
      </c>
    </row>
    <row r="185" spans="1:10" x14ac:dyDescent="0.3">
      <c r="A185" s="119"/>
      <c r="B185" s="12"/>
      <c r="C185" s="13"/>
      <c r="D185" s="52" t="s">
        <v>1131</v>
      </c>
      <c r="E185" s="13"/>
      <c r="F185" s="598">
        <f>J183</f>
        <v>89.6</v>
      </c>
      <c r="G185" s="598"/>
      <c r="H185" s="598"/>
      <c r="I185" s="598"/>
      <c r="J185" s="53">
        <f>F185</f>
        <v>89.6</v>
      </c>
    </row>
    <row r="186" spans="1:10" ht="15" thickBot="1" x14ac:dyDescent="0.35">
      <c r="A186" s="633" t="s">
        <v>58</v>
      </c>
      <c r="B186" s="634"/>
      <c r="C186" s="634"/>
      <c r="D186" s="634"/>
      <c r="E186" s="634"/>
      <c r="F186" s="634"/>
      <c r="G186" s="634"/>
      <c r="H186" s="634"/>
      <c r="I186" s="634"/>
      <c r="J186" s="166">
        <f>SUM(J185:J185)</f>
        <v>89.6</v>
      </c>
    </row>
    <row r="187" spans="1:10" x14ac:dyDescent="0.3">
      <c r="A187" s="215" t="str">
        <f>ORÇAMENTO!A57</f>
        <v>5.10</v>
      </c>
      <c r="B187" s="216" t="str">
        <f>ORÇAMENTO!B57</f>
        <v>GOINFRA</v>
      </c>
      <c r="C187" s="216">
        <f>ORÇAMENTO!C57</f>
        <v>61101</v>
      </c>
      <c r="D187" s="228" t="str">
        <f>ORÇAMENTO!D57</f>
        <v>FORRO EM LAJE PRE-MOLDADA INC.CAPEAMENTO/FERR.DISTRIB./ESCORAMENTO E FORMA/DESFORMA</v>
      </c>
      <c r="E187" s="216" t="s">
        <v>330</v>
      </c>
      <c r="F187" s="562" t="s">
        <v>66</v>
      </c>
      <c r="G187" s="562"/>
      <c r="H187" s="562"/>
      <c r="I187" s="562"/>
      <c r="J187" s="229" t="s">
        <v>65</v>
      </c>
    </row>
    <row r="188" spans="1:10" x14ac:dyDescent="0.3">
      <c r="A188" s="119"/>
      <c r="B188" s="12"/>
      <c r="C188" s="13"/>
      <c r="D188" s="52" t="s">
        <v>1133</v>
      </c>
      <c r="E188" s="13"/>
      <c r="F188" s="598">
        <v>44.29</v>
      </c>
      <c r="G188" s="598"/>
      <c r="H188" s="598"/>
      <c r="I188" s="598"/>
      <c r="J188" s="53">
        <f t="shared" ref="J188:J189" si="14">F188</f>
        <v>44.29</v>
      </c>
    </row>
    <row r="189" spans="1:10" x14ac:dyDescent="0.3">
      <c r="A189" s="119"/>
      <c r="B189" s="12"/>
      <c r="C189" s="13"/>
      <c r="D189" s="52" t="s">
        <v>1132</v>
      </c>
      <c r="E189" s="13"/>
      <c r="F189" s="598">
        <v>21</v>
      </c>
      <c r="G189" s="598"/>
      <c r="H189" s="598"/>
      <c r="I189" s="598"/>
      <c r="J189" s="53">
        <f t="shared" si="14"/>
        <v>21</v>
      </c>
    </row>
    <row r="190" spans="1:10" ht="15" thickBot="1" x14ac:dyDescent="0.35">
      <c r="A190" s="633" t="s">
        <v>58</v>
      </c>
      <c r="B190" s="634"/>
      <c r="C190" s="634"/>
      <c r="D190" s="634"/>
      <c r="E190" s="634"/>
      <c r="F190" s="634"/>
      <c r="G190" s="634"/>
      <c r="H190" s="634"/>
      <c r="I190" s="634"/>
      <c r="J190" s="166">
        <f>SUM(J188:J189)</f>
        <v>65.289999999999992</v>
      </c>
    </row>
    <row r="191" spans="1:10" x14ac:dyDescent="0.3">
      <c r="A191" s="215" t="str">
        <f>ORÇAMENTO!A58</f>
        <v>5.11</v>
      </c>
      <c r="B191" s="216" t="str">
        <f>ORÇAMENTO!B58</f>
        <v>GOINFRA</v>
      </c>
      <c r="C191" s="216">
        <f>ORÇAMENTO!C58</f>
        <v>61102</v>
      </c>
      <c r="D191" s="228" t="str">
        <f>ORÇAMENTO!D58</f>
        <v>PISO EM LAJE PRÉ-MOLDADA INC. CAPEAMENTO/FERR.DISTRIB./ESCORAMENTO E FORMA/DESFORMA</v>
      </c>
      <c r="E191" s="216" t="str">
        <f>ORÇAMENTO!F57</f>
        <v xml:space="preserve">m2 </v>
      </c>
      <c r="F191" s="562" t="s">
        <v>66</v>
      </c>
      <c r="G191" s="562"/>
      <c r="H191" s="562"/>
      <c r="I191" s="562"/>
      <c r="J191" s="229" t="s">
        <v>65</v>
      </c>
    </row>
    <row r="192" spans="1:10" x14ac:dyDescent="0.3">
      <c r="A192" s="119"/>
      <c r="B192" s="12"/>
      <c r="C192" s="13"/>
      <c r="D192" s="52" t="s">
        <v>1134</v>
      </c>
      <c r="E192" s="68"/>
      <c r="F192" s="662" t="s">
        <v>1135</v>
      </c>
      <c r="G192" s="662"/>
      <c r="H192" s="662"/>
      <c r="I192" s="662"/>
      <c r="J192" s="318">
        <f>130.38+93.03</f>
        <v>223.41</v>
      </c>
    </row>
    <row r="193" spans="1:10" ht="15" thickBot="1" x14ac:dyDescent="0.35">
      <c r="A193" s="633" t="s">
        <v>58</v>
      </c>
      <c r="B193" s="634"/>
      <c r="C193" s="634"/>
      <c r="D193" s="634"/>
      <c r="E193" s="634"/>
      <c r="F193" s="634"/>
      <c r="G193" s="634"/>
      <c r="H193" s="634"/>
      <c r="I193" s="634"/>
      <c r="J193" s="166">
        <f>SUM(J192:J192)</f>
        <v>223.41</v>
      </c>
    </row>
    <row r="194" spans="1:10" ht="28.8" x14ac:dyDescent="0.3">
      <c r="A194" s="215" t="str">
        <f>ORÇAMENTO!A59</f>
        <v>5.12</v>
      </c>
      <c r="B194" s="216" t="str">
        <f>ORÇAMENTO!B59</f>
        <v>SINAPI</v>
      </c>
      <c r="C194" s="216">
        <f>ORÇAMENTO!C59</f>
        <v>21141</v>
      </c>
      <c r="D194" s="228" t="str">
        <f>ORÇAMENTO!D59</f>
        <v>TELA DE ACO SOLDADA NERVURADA, CA-60, Q-92, (1,48 KG/M2), DIAMETRO DO FIO = 4,2 MM,LARGURA = 2,45 X 60 M DE COMPRIMENTO, ESPACAMENTO DA MALHA = 15 X 15 CM</v>
      </c>
      <c r="E194" s="216" t="str">
        <f>ORÇAMENTO!F58</f>
        <v xml:space="preserve">m2 </v>
      </c>
      <c r="F194" s="562" t="s">
        <v>66</v>
      </c>
      <c r="G194" s="562"/>
      <c r="H194" s="562"/>
      <c r="I194" s="562"/>
      <c r="J194" s="229" t="s">
        <v>66</v>
      </c>
    </row>
    <row r="195" spans="1:10" x14ac:dyDescent="0.3">
      <c r="A195" s="162"/>
      <c r="B195" s="59"/>
      <c r="C195" s="60"/>
      <c r="D195" s="57" t="s">
        <v>1136</v>
      </c>
      <c r="E195" s="60"/>
      <c r="F195" s="598">
        <v>2075.3000000000002</v>
      </c>
      <c r="G195" s="598"/>
      <c r="H195" s="598"/>
      <c r="I195" s="598"/>
      <c r="J195" s="53">
        <f>F195</f>
        <v>2075.3000000000002</v>
      </c>
    </row>
    <row r="196" spans="1:10" ht="15" thickBot="1" x14ac:dyDescent="0.35">
      <c r="A196" s="575" t="s">
        <v>58</v>
      </c>
      <c r="B196" s="576"/>
      <c r="C196" s="576"/>
      <c r="D196" s="576"/>
      <c r="E196" s="576"/>
      <c r="F196" s="576"/>
      <c r="G196" s="576"/>
      <c r="H196" s="576"/>
      <c r="I196" s="576"/>
      <c r="J196" s="221">
        <f>SUM(J195:J195)</f>
        <v>2075.3000000000002</v>
      </c>
    </row>
    <row r="197" spans="1:10" ht="15" thickBot="1" x14ac:dyDescent="0.35">
      <c r="A197" s="582" t="s">
        <v>27</v>
      </c>
      <c r="B197" s="583"/>
      <c r="C197" s="583"/>
      <c r="D197" s="583"/>
      <c r="E197" s="583"/>
      <c r="F197" s="583"/>
      <c r="G197" s="583"/>
      <c r="H197" s="583"/>
      <c r="I197" s="583"/>
      <c r="J197" s="584"/>
    </row>
    <row r="198" spans="1:10" x14ac:dyDescent="0.3">
      <c r="A198" s="309">
        <v>6</v>
      </c>
      <c r="B198" s="310" t="s">
        <v>23</v>
      </c>
      <c r="C198" s="311">
        <v>70000</v>
      </c>
      <c r="D198" s="624" t="s">
        <v>28</v>
      </c>
      <c r="E198" s="625"/>
      <c r="F198" s="625"/>
      <c r="G198" s="625"/>
      <c r="H198" s="625"/>
      <c r="I198" s="625"/>
      <c r="J198" s="312"/>
    </row>
    <row r="199" spans="1:10" x14ac:dyDescent="0.3">
      <c r="A199" s="119" t="str">
        <f>ORÇAMENTO!A63</f>
        <v>6.1</v>
      </c>
      <c r="B199" s="12" t="str">
        <f>ORÇAMENTO!B63</f>
        <v>GOINFRA</v>
      </c>
      <c r="C199" s="13">
        <f>ORÇAMENTO!C63</f>
        <v>70423</v>
      </c>
      <c r="D199" s="173" t="str">
        <f>ORÇAMENTO!D63</f>
        <v>BUCHA E ARRUELA METALICA DIAM. 1.1/4"</v>
      </c>
      <c r="E199" s="13" t="str">
        <f>ORÇAMENTO!F63</f>
        <v>pr</v>
      </c>
      <c r="F199" s="579">
        <f>ORÇAMENTO!E63</f>
        <v>3</v>
      </c>
      <c r="G199" s="580"/>
      <c r="H199" s="580"/>
      <c r="I199" s="580"/>
      <c r="J199" s="593"/>
    </row>
    <row r="200" spans="1:10" x14ac:dyDescent="0.3">
      <c r="A200" s="119" t="str">
        <f>ORÇAMENTO!A64</f>
        <v>6.2</v>
      </c>
      <c r="B200" s="12" t="str">
        <f>ORÇAMENTO!B64</f>
        <v>GOINFRA</v>
      </c>
      <c r="C200" s="13">
        <f>ORÇAMENTO!C64</f>
        <v>70391</v>
      </c>
      <c r="D200" s="173" t="str">
        <f>ORÇAMENTO!D64</f>
        <v>BUCHA DE NYLON S-6</v>
      </c>
      <c r="E200" s="13" t="str">
        <f>ORÇAMENTO!F64</f>
        <v>und.</v>
      </c>
      <c r="F200" s="579">
        <f>ORÇAMENTO!E64</f>
        <v>31</v>
      </c>
      <c r="G200" s="580"/>
      <c r="H200" s="580"/>
      <c r="I200" s="580"/>
      <c r="J200" s="593"/>
    </row>
    <row r="201" spans="1:10" x14ac:dyDescent="0.3">
      <c r="A201" s="119" t="str">
        <f>ORÇAMENTO!A65</f>
        <v>6.3</v>
      </c>
      <c r="B201" s="12" t="str">
        <f>ORÇAMENTO!B65</f>
        <v>GOINFRA</v>
      </c>
      <c r="C201" s="13">
        <f>ORÇAMENTO!C65</f>
        <v>70393</v>
      </c>
      <c r="D201" s="173" t="str">
        <f>ORÇAMENTO!D65</f>
        <v>BUCHA DE NYLON S-10</v>
      </c>
      <c r="E201" s="13" t="str">
        <f>ORÇAMENTO!F65</f>
        <v>und.</v>
      </c>
      <c r="F201" s="579">
        <f>ORÇAMENTO!E65</f>
        <v>598</v>
      </c>
      <c r="G201" s="580"/>
      <c r="H201" s="580"/>
      <c r="I201" s="580"/>
      <c r="J201" s="593"/>
    </row>
    <row r="202" spans="1:10" x14ac:dyDescent="0.3">
      <c r="A202" s="119" t="str">
        <f>ORÇAMENTO!A66</f>
        <v>6.4</v>
      </c>
      <c r="B202" s="12" t="str">
        <f>ORÇAMENTO!B66</f>
        <v>GOINFRA</v>
      </c>
      <c r="C202" s="13">
        <f>ORÇAMENTO!C66</f>
        <v>70233</v>
      </c>
      <c r="D202" s="173" t="str">
        <f>ORÇAMENTO!D66</f>
        <v>ARMACAO SECUNDARIA LEVE 4 ELEMENTOS</v>
      </c>
      <c r="E202" s="13" t="str">
        <f>ORÇAMENTO!F66</f>
        <v>und.</v>
      </c>
      <c r="F202" s="579">
        <f>ORÇAMENTO!E66</f>
        <v>3</v>
      </c>
      <c r="G202" s="580"/>
      <c r="H202" s="580"/>
      <c r="I202" s="580"/>
      <c r="J202" s="593"/>
    </row>
    <row r="203" spans="1:10" x14ac:dyDescent="0.3">
      <c r="A203" s="119" t="str">
        <f>ORÇAMENTO!A67</f>
        <v>6.5</v>
      </c>
      <c r="B203" s="12" t="str">
        <f>ORÇAMENTO!B67</f>
        <v>GOINFRA</v>
      </c>
      <c r="C203" s="13">
        <f>ORÇAMENTO!C67</f>
        <v>70251</v>
      </c>
      <c r="D203" s="173" t="str">
        <f>ORÇAMENTO!D67</f>
        <v>ARRUELA LISA D=1/4"</v>
      </c>
      <c r="E203" s="13" t="str">
        <f>ORÇAMENTO!F67</f>
        <v>und.</v>
      </c>
      <c r="F203" s="579">
        <f>ORÇAMENTO!E67</f>
        <v>3520</v>
      </c>
      <c r="G203" s="580"/>
      <c r="H203" s="580"/>
      <c r="I203" s="580"/>
      <c r="J203" s="593"/>
    </row>
    <row r="204" spans="1:10" x14ac:dyDescent="0.3">
      <c r="A204" s="119" t="str">
        <f>ORÇAMENTO!A68</f>
        <v>6.6</v>
      </c>
      <c r="B204" s="12" t="str">
        <f>ORÇAMENTO!B68</f>
        <v>GOINFRA</v>
      </c>
      <c r="C204" s="13">
        <f>ORÇAMENTO!C68</f>
        <v>70252</v>
      </c>
      <c r="D204" s="173" t="str">
        <f>ORÇAMENTO!D68</f>
        <v>ARRUELA LISA D=5/16"</v>
      </c>
      <c r="E204" s="13" t="str">
        <f>ORÇAMENTO!F68</f>
        <v>und.</v>
      </c>
      <c r="F204" s="579">
        <f>ORÇAMENTO!E68</f>
        <v>484</v>
      </c>
      <c r="G204" s="580"/>
      <c r="H204" s="580"/>
      <c r="I204" s="580"/>
      <c r="J204" s="593"/>
    </row>
    <row r="205" spans="1:10" x14ac:dyDescent="0.3">
      <c r="A205" s="119" t="str">
        <f>ORÇAMENTO!A69</f>
        <v>6.7</v>
      </c>
      <c r="B205" s="12" t="str">
        <f>ORÇAMENTO!B69</f>
        <v>GOINFRA</v>
      </c>
      <c r="C205" s="13">
        <f>ORÇAMENTO!C69</f>
        <v>70351</v>
      </c>
      <c r="D205" s="173" t="str">
        <f>ORÇAMENTO!D69</f>
        <v>BRACADEIRA METALICA TIPO "U" DIAM. 3/4"</v>
      </c>
      <c r="E205" s="13" t="str">
        <f>ORÇAMENTO!F69</f>
        <v>und.</v>
      </c>
      <c r="F205" s="579">
        <f>ORÇAMENTO!E69</f>
        <v>31</v>
      </c>
      <c r="G205" s="580"/>
      <c r="H205" s="580"/>
      <c r="I205" s="580"/>
      <c r="J205" s="593"/>
    </row>
    <row r="206" spans="1:10" x14ac:dyDescent="0.3">
      <c r="A206" s="119" t="str">
        <f>ORÇAMENTO!A70</f>
        <v>6.8</v>
      </c>
      <c r="B206" s="12" t="str">
        <f>ORÇAMENTO!B70</f>
        <v>GOINFRA</v>
      </c>
      <c r="C206" s="13">
        <f>ORÇAMENTO!C70</f>
        <v>70503</v>
      </c>
      <c r="D206" s="173" t="str">
        <f>ORÇAMENTO!D70</f>
        <v>CABECOTE DE LIGA DE ALUMINIO DIAM. 1.1/2"</v>
      </c>
      <c r="E206" s="13" t="str">
        <f>ORÇAMENTO!F70</f>
        <v>und.</v>
      </c>
      <c r="F206" s="579">
        <f>ORÇAMENTO!E70</f>
        <v>4</v>
      </c>
      <c r="G206" s="580"/>
      <c r="H206" s="580"/>
      <c r="I206" s="580"/>
      <c r="J206" s="593"/>
    </row>
    <row r="207" spans="1:10" x14ac:dyDescent="0.3">
      <c r="A207" s="119" t="str">
        <f>ORÇAMENTO!A71</f>
        <v>6.9</v>
      </c>
      <c r="B207" s="12" t="str">
        <f>ORÇAMENTO!B71</f>
        <v>GOINFRA</v>
      </c>
      <c r="C207" s="13">
        <f>ORÇAMENTO!C71</f>
        <v>70571</v>
      </c>
      <c r="D207" s="173" t="str">
        <f>ORÇAMENTO!D71</f>
        <v>CABO ISOLADO PVC 750 V, No. 16 MM2</v>
      </c>
      <c r="E207" s="13" t="str">
        <f>ORÇAMENTO!F71</f>
        <v>m</v>
      </c>
      <c r="F207" s="579">
        <f>ORÇAMENTO!E71</f>
        <v>1302.2</v>
      </c>
      <c r="G207" s="580"/>
      <c r="H207" s="580"/>
      <c r="I207" s="580"/>
      <c r="J207" s="593"/>
    </row>
    <row r="208" spans="1:10" x14ac:dyDescent="0.3">
      <c r="A208" s="119" t="str">
        <f>ORÇAMENTO!A72</f>
        <v>6.10</v>
      </c>
      <c r="B208" s="12" t="str">
        <f>ORÇAMENTO!B72</f>
        <v>GOINFRA</v>
      </c>
      <c r="C208" s="13">
        <f>ORÇAMENTO!C72</f>
        <v>70572</v>
      </c>
      <c r="D208" s="173" t="str">
        <f>ORÇAMENTO!D72</f>
        <v>CABO ISOLADO PVC 750 V, No. 25 MM2</v>
      </c>
      <c r="E208" s="13" t="str">
        <f>ORÇAMENTO!F72</f>
        <v>m</v>
      </c>
      <c r="F208" s="579">
        <f>ORÇAMENTO!E72</f>
        <v>457.5</v>
      </c>
      <c r="G208" s="580"/>
      <c r="H208" s="580"/>
      <c r="I208" s="580"/>
      <c r="J208" s="593"/>
    </row>
    <row r="209" spans="1:10" x14ac:dyDescent="0.3">
      <c r="A209" s="119" t="str">
        <f>ORÇAMENTO!A73</f>
        <v>6.11</v>
      </c>
      <c r="B209" s="12" t="str">
        <f>ORÇAMENTO!B73</f>
        <v>GOINFRA</v>
      </c>
      <c r="C209" s="13">
        <f>ORÇAMENTO!C73</f>
        <v>70573</v>
      </c>
      <c r="D209" s="173" t="str">
        <f>ORÇAMENTO!D73</f>
        <v xml:space="preserve">CABO ISOLADO PVC 750 V, No. 35 MM2 </v>
      </c>
      <c r="E209" s="13" t="str">
        <f>ORÇAMENTO!F73</f>
        <v>m</v>
      </c>
      <c r="F209" s="579">
        <f>ORÇAMENTO!E73</f>
        <v>16</v>
      </c>
      <c r="G209" s="580"/>
      <c r="H209" s="580"/>
      <c r="I209" s="580"/>
      <c r="J209" s="593"/>
    </row>
    <row r="210" spans="1:10" x14ac:dyDescent="0.3">
      <c r="A210" s="119" t="str">
        <f>ORÇAMENTO!A74</f>
        <v>6.12</v>
      </c>
      <c r="B210" s="12" t="str">
        <f>ORÇAMENTO!B74</f>
        <v>GOINFRA</v>
      </c>
      <c r="C210" s="13">
        <f>ORÇAMENTO!C74</f>
        <v>70645</v>
      </c>
      <c r="D210" s="173" t="str">
        <f>ORÇAMENTO!D74</f>
        <v>CAIXA DE PASSAGEM METÁLICA DE EMBUTIR 15X15X8 CM</v>
      </c>
      <c r="E210" s="13" t="str">
        <f>ORÇAMENTO!F74</f>
        <v>und.</v>
      </c>
      <c r="F210" s="579">
        <f>ORÇAMENTO!E74</f>
        <v>35</v>
      </c>
      <c r="G210" s="580"/>
      <c r="H210" s="580"/>
      <c r="I210" s="580"/>
      <c r="J210" s="593"/>
    </row>
    <row r="211" spans="1:10" x14ac:dyDescent="0.3">
      <c r="A211" s="119" t="str">
        <f>ORÇAMENTO!A75</f>
        <v>6.13</v>
      </c>
      <c r="B211" s="12" t="str">
        <f>ORÇAMENTO!B75</f>
        <v>GOINFRA</v>
      </c>
      <c r="C211" s="13">
        <f>ORÇAMENTO!C75</f>
        <v>70646</v>
      </c>
      <c r="D211" s="173" t="str">
        <f>ORÇAMENTO!D75</f>
        <v>CAIXA DE PASSAGEM METÁLICA DE EMBUTIR 20X20X10 CM</v>
      </c>
      <c r="E211" s="13" t="str">
        <f>ORÇAMENTO!F75</f>
        <v>und.</v>
      </c>
      <c r="F211" s="579">
        <f>ORÇAMENTO!E75</f>
        <v>5</v>
      </c>
      <c r="G211" s="580"/>
      <c r="H211" s="580"/>
      <c r="I211" s="580"/>
      <c r="J211" s="593"/>
    </row>
    <row r="212" spans="1:10" x14ac:dyDescent="0.3">
      <c r="A212" s="119" t="str">
        <f>ORÇAMENTO!A76</f>
        <v>6.14</v>
      </c>
      <c r="B212" s="12" t="str">
        <f>ORÇAMENTO!B76</f>
        <v>GOINFRA</v>
      </c>
      <c r="C212" s="13">
        <f>ORÇAMENTO!C76</f>
        <v>70681</v>
      </c>
      <c r="D212" s="173" t="str">
        <f>ORÇAMENTO!D76</f>
        <v xml:space="preserve">CAIXA METALICA OCTOGONAL FUNDO MOVEL, SIMPLES 2" </v>
      </c>
      <c r="E212" s="13" t="str">
        <f>ORÇAMENTO!F76</f>
        <v>und.</v>
      </c>
      <c r="F212" s="579">
        <f>ORÇAMENTO!E76</f>
        <v>241</v>
      </c>
      <c r="G212" s="580"/>
      <c r="H212" s="580"/>
      <c r="I212" s="580"/>
      <c r="J212" s="593"/>
    </row>
    <row r="213" spans="1:10" x14ac:dyDescent="0.3">
      <c r="A213" s="119" t="str">
        <f>ORÇAMENTO!A77</f>
        <v>6.15</v>
      </c>
      <c r="B213" s="12" t="str">
        <f>ORÇAMENTO!B77</f>
        <v>GOINFRA</v>
      </c>
      <c r="C213" s="13">
        <f>ORÇAMENTO!C77</f>
        <v>70691</v>
      </c>
      <c r="D213" s="173" t="str">
        <f>ORÇAMENTO!D77</f>
        <v xml:space="preserve">CAIXA METALICA RET. 4" X 2" X 2" </v>
      </c>
      <c r="E213" s="13" t="str">
        <f>ORÇAMENTO!F77</f>
        <v>und.</v>
      </c>
      <c r="F213" s="579">
        <f>ORÇAMENTO!E77</f>
        <v>271</v>
      </c>
      <c r="G213" s="580"/>
      <c r="H213" s="580"/>
      <c r="I213" s="580"/>
      <c r="J213" s="593"/>
    </row>
    <row r="214" spans="1:10" x14ac:dyDescent="0.3">
      <c r="A214" s="119" t="str">
        <f>ORÇAMENTO!A78</f>
        <v>6.16</v>
      </c>
      <c r="B214" s="12" t="str">
        <f>ORÇAMENTO!B78</f>
        <v>GOINFRA</v>
      </c>
      <c r="C214" s="13">
        <f>ORÇAMENTO!C78</f>
        <v>70710</v>
      </c>
      <c r="D214" s="173" t="str">
        <f>ORÇAMENTO!D78</f>
        <v>CAIXA DE PASSAGEM 30X30X40CM COM TAMPA E DRENO BRITA</v>
      </c>
      <c r="E214" s="13" t="str">
        <f>ORÇAMENTO!F78</f>
        <v>und.</v>
      </c>
      <c r="F214" s="579">
        <f>ORÇAMENTO!E78</f>
        <v>22</v>
      </c>
      <c r="G214" s="580"/>
      <c r="H214" s="580"/>
      <c r="I214" s="580"/>
      <c r="J214" s="593"/>
    </row>
    <row r="215" spans="1:10" x14ac:dyDescent="0.3">
      <c r="A215" s="119" t="str">
        <f>ORÇAMENTO!A79</f>
        <v>6.17</v>
      </c>
      <c r="B215" s="12" t="str">
        <f>ORÇAMENTO!B79</f>
        <v>GOINFRA</v>
      </c>
      <c r="C215" s="13">
        <f>ORÇAMENTO!C79</f>
        <v>70720</v>
      </c>
      <c r="D215" s="173" t="str">
        <f>ORÇAMENTO!D79</f>
        <v xml:space="preserve">CAIXA METÁLICA PARA MEDIDOR POLIFÁSICO PADRÃO ENEL 500X380X166MM </v>
      </c>
      <c r="E215" s="13" t="str">
        <f>ORÇAMENTO!F79</f>
        <v>und.</v>
      </c>
      <c r="F215" s="579">
        <f>ORÇAMENTO!E79</f>
        <v>2</v>
      </c>
      <c r="G215" s="580"/>
      <c r="H215" s="580"/>
      <c r="I215" s="580"/>
      <c r="J215" s="593"/>
    </row>
    <row r="216" spans="1:10" x14ac:dyDescent="0.3">
      <c r="A216" s="119" t="str">
        <f>ORÇAMENTO!A80</f>
        <v>6.18</v>
      </c>
      <c r="B216" s="12" t="str">
        <f>ORÇAMENTO!B80</f>
        <v>GOINFRA</v>
      </c>
      <c r="C216" s="13">
        <f>ORÇAMENTO!C80</f>
        <v>70920</v>
      </c>
      <c r="D216" s="173" t="str">
        <f>ORÇAMENTO!D80</f>
        <v>CINTA DE AÇO GALVANIZADO DIAM. 190 MM</v>
      </c>
      <c r="E216" s="13" t="str">
        <f>ORÇAMENTO!F80</f>
        <v>und.</v>
      </c>
      <c r="F216" s="579">
        <f>ORÇAMENTO!E80</f>
        <v>8</v>
      </c>
      <c r="G216" s="580"/>
      <c r="H216" s="580"/>
      <c r="I216" s="580"/>
      <c r="J216" s="593"/>
    </row>
    <row r="217" spans="1:10" x14ac:dyDescent="0.3">
      <c r="A217" s="119" t="str">
        <f>ORÇAMENTO!A81</f>
        <v>6.19</v>
      </c>
      <c r="B217" s="12" t="str">
        <f>ORÇAMENTO!B81</f>
        <v>GOINFRA</v>
      </c>
      <c r="C217" s="13">
        <f>ORÇAMENTO!C81</f>
        <v>71143</v>
      </c>
      <c r="D217" s="173" t="str">
        <f>ORÇAMENTO!D81</f>
        <v>CURVA DE 90 GRAUS DE PVC RIGIDO DIAM. 1.1/4"</v>
      </c>
      <c r="E217" s="13" t="str">
        <f>ORÇAMENTO!F81</f>
        <v>und.</v>
      </c>
      <c r="F217" s="579">
        <f>ORÇAMENTO!E81</f>
        <v>4</v>
      </c>
      <c r="G217" s="580"/>
      <c r="H217" s="580"/>
      <c r="I217" s="580"/>
      <c r="J217" s="593"/>
    </row>
    <row r="218" spans="1:10" x14ac:dyDescent="0.3">
      <c r="A218" s="119" t="str">
        <f>ORÇAMENTO!A82</f>
        <v>6.20</v>
      </c>
      <c r="B218" s="12" t="str">
        <f>ORÇAMENTO!B82</f>
        <v>GOINFRA</v>
      </c>
      <c r="C218" s="13">
        <f>ORÇAMENTO!C82</f>
        <v>71144</v>
      </c>
      <c r="D218" s="173" t="str">
        <f>ORÇAMENTO!D82</f>
        <v>CURVA DE 90 GRAUS DE PVC RIGIDO DIAM. 1.1/2"</v>
      </c>
      <c r="E218" s="13" t="str">
        <f>ORÇAMENTO!F82</f>
        <v>und.</v>
      </c>
      <c r="F218" s="579">
        <f>ORÇAMENTO!E82</f>
        <v>8</v>
      </c>
      <c r="G218" s="580"/>
      <c r="H218" s="580"/>
      <c r="I218" s="580"/>
      <c r="J218" s="593"/>
    </row>
    <row r="219" spans="1:10" x14ac:dyDescent="0.3">
      <c r="A219" s="119" t="str">
        <f>ORÇAMENTO!A83</f>
        <v>6.21</v>
      </c>
      <c r="B219" s="12" t="str">
        <f>ORÇAMENTO!B83</f>
        <v>GOINFRA</v>
      </c>
      <c r="C219" s="13">
        <f>ORÇAMENTO!C83</f>
        <v>71743</v>
      </c>
      <c r="D219" s="173" t="str">
        <f>ORÇAMENTO!D83</f>
        <v>LUVA PVC ROSQUEAVEL DIAMETRO 1.1/4"</v>
      </c>
      <c r="E219" s="13" t="str">
        <f>ORÇAMENTO!F83</f>
        <v>und.</v>
      </c>
      <c r="F219" s="579">
        <f>ORÇAMENTO!E83</f>
        <v>4</v>
      </c>
      <c r="G219" s="580"/>
      <c r="H219" s="580"/>
      <c r="I219" s="580"/>
      <c r="J219" s="593"/>
    </row>
    <row r="220" spans="1:10" x14ac:dyDescent="0.3">
      <c r="A220" s="119" t="str">
        <f>ORÇAMENTO!A84</f>
        <v>6.22</v>
      </c>
      <c r="B220" s="12" t="str">
        <f>ORÇAMENTO!B84</f>
        <v>GOINFRA</v>
      </c>
      <c r="C220" s="13">
        <f>ORÇAMENTO!C84</f>
        <v>71744</v>
      </c>
      <c r="D220" s="173" t="str">
        <f>ORÇAMENTO!D84</f>
        <v>LUVA PVC ROSQUEAVEL DIAMETRO 1.1/2"</v>
      </c>
      <c r="E220" s="13" t="str">
        <f>ORÇAMENTO!F84</f>
        <v>und.</v>
      </c>
      <c r="F220" s="579">
        <f>ORÇAMENTO!E84</f>
        <v>8</v>
      </c>
      <c r="G220" s="580"/>
      <c r="H220" s="580"/>
      <c r="I220" s="580"/>
      <c r="J220" s="593"/>
    </row>
    <row r="221" spans="1:10" x14ac:dyDescent="0.3">
      <c r="A221" s="119" t="str">
        <f>ORÇAMENTO!A85</f>
        <v>6.23</v>
      </c>
      <c r="B221" s="12" t="str">
        <f>ORÇAMENTO!B85</f>
        <v>GOINFRA</v>
      </c>
      <c r="C221" s="13">
        <f>ORÇAMENTO!C85</f>
        <v>71171</v>
      </c>
      <c r="D221" s="173" t="str">
        <f>ORÇAMENTO!D85</f>
        <v xml:space="preserve">DISJUNTOR MONOPOLAR DE 10 A 32-A </v>
      </c>
      <c r="E221" s="13" t="str">
        <f>ORÇAMENTO!F85</f>
        <v>und.</v>
      </c>
      <c r="F221" s="579">
        <f>ORÇAMENTO!E85</f>
        <v>78</v>
      </c>
      <c r="G221" s="580"/>
      <c r="H221" s="580"/>
      <c r="I221" s="580"/>
      <c r="J221" s="593"/>
    </row>
    <row r="222" spans="1:10" x14ac:dyDescent="0.3">
      <c r="A222" s="119" t="str">
        <f>ORÇAMENTO!A86</f>
        <v>6.24</v>
      </c>
      <c r="B222" s="12" t="str">
        <f>ORÇAMENTO!B86</f>
        <v>GOINFRA</v>
      </c>
      <c r="C222" s="13">
        <f>ORÇAMENTO!C86</f>
        <v>71172</v>
      </c>
      <c r="D222" s="173" t="str">
        <f>ORÇAMENTO!D86</f>
        <v>DISJUNTOR MONOPOLAR DE 35 A 50-A</v>
      </c>
      <c r="E222" s="13" t="str">
        <f>ORÇAMENTO!F86</f>
        <v>und.</v>
      </c>
      <c r="F222" s="579">
        <f>ORÇAMENTO!E86</f>
        <v>15</v>
      </c>
      <c r="G222" s="580"/>
      <c r="H222" s="580"/>
      <c r="I222" s="580"/>
      <c r="J222" s="593"/>
    </row>
    <row r="223" spans="1:10" x14ac:dyDescent="0.3">
      <c r="A223" s="119" t="str">
        <f>ORÇAMENTO!A87</f>
        <v>6.25</v>
      </c>
      <c r="B223" s="12" t="str">
        <f>ORÇAMENTO!B87</f>
        <v>GOINFRA</v>
      </c>
      <c r="C223" s="13">
        <f>ORÇAMENTO!C87</f>
        <v>71173</v>
      </c>
      <c r="D223" s="173" t="str">
        <f>ORÇAMENTO!D87</f>
        <v xml:space="preserve">DISJUNTOR TRIPOLAR DE 10 A 35-A </v>
      </c>
      <c r="E223" s="13" t="str">
        <f>ORÇAMENTO!F87</f>
        <v>und.</v>
      </c>
      <c r="F223" s="579">
        <f>ORÇAMENTO!E87</f>
        <v>34</v>
      </c>
      <c r="G223" s="580"/>
      <c r="H223" s="580"/>
      <c r="I223" s="580"/>
      <c r="J223" s="593"/>
    </row>
    <row r="224" spans="1:10" x14ac:dyDescent="0.3">
      <c r="A224" s="119" t="str">
        <f>ORÇAMENTO!A88</f>
        <v>6.26</v>
      </c>
      <c r="B224" s="12" t="str">
        <f>ORÇAMENTO!B88</f>
        <v>GOINFRA</v>
      </c>
      <c r="C224" s="13">
        <f>ORÇAMENTO!C88</f>
        <v>71174</v>
      </c>
      <c r="D224" s="173" t="str">
        <f>ORÇAMENTO!D88</f>
        <v xml:space="preserve">DISJUNTOR TRIPOLAR 40 A 50A </v>
      </c>
      <c r="E224" s="13" t="str">
        <f>ORÇAMENTO!F88</f>
        <v>und.</v>
      </c>
      <c r="F224" s="579">
        <f>ORÇAMENTO!E88</f>
        <v>6</v>
      </c>
      <c r="G224" s="580"/>
      <c r="H224" s="580"/>
      <c r="I224" s="580"/>
      <c r="J224" s="593"/>
    </row>
    <row r="225" spans="1:10" x14ac:dyDescent="0.3">
      <c r="A225" s="119" t="str">
        <f>ORÇAMENTO!A89</f>
        <v>6.27</v>
      </c>
      <c r="B225" s="12" t="str">
        <f>ORÇAMENTO!B89</f>
        <v>GOINFRA</v>
      </c>
      <c r="C225" s="13">
        <f>ORÇAMENTO!C89</f>
        <v>71175</v>
      </c>
      <c r="D225" s="173" t="str">
        <f>ORÇAMENTO!D89</f>
        <v>DISJUNTOR TRIPOLAR DE 60 A 100-A</v>
      </c>
      <c r="E225" s="13" t="str">
        <f>ORÇAMENTO!F89</f>
        <v>und.</v>
      </c>
      <c r="F225" s="579">
        <f>ORÇAMENTO!E89</f>
        <v>2</v>
      </c>
      <c r="G225" s="580"/>
      <c r="H225" s="580"/>
      <c r="I225" s="580"/>
      <c r="J225" s="593"/>
    </row>
    <row r="226" spans="1:10" x14ac:dyDescent="0.3">
      <c r="A226" s="119" t="str">
        <f>ORÇAMENTO!A90</f>
        <v>6.28</v>
      </c>
      <c r="B226" s="12" t="str">
        <f>ORÇAMENTO!B90</f>
        <v>GOINFRA</v>
      </c>
      <c r="C226" s="13">
        <f>ORÇAMENTO!C90</f>
        <v>71176</v>
      </c>
      <c r="D226" s="173" t="str">
        <f>ORÇAMENTO!D90</f>
        <v xml:space="preserve">DISJUNTOR TRIPOLAR DE 125-A </v>
      </c>
      <c r="E226" s="13" t="str">
        <f>ORÇAMENTO!F90</f>
        <v>und.</v>
      </c>
      <c r="F226" s="579">
        <f>ORÇAMENTO!E90</f>
        <v>1</v>
      </c>
      <c r="G226" s="580"/>
      <c r="H226" s="580"/>
      <c r="I226" s="580"/>
      <c r="J226" s="593"/>
    </row>
    <row r="227" spans="1:10" x14ac:dyDescent="0.3">
      <c r="A227" s="119" t="str">
        <f>ORÇAMENTO!A91</f>
        <v>6.29</v>
      </c>
      <c r="B227" s="12" t="str">
        <f>ORÇAMENTO!B91</f>
        <v>GOINFRA</v>
      </c>
      <c r="C227" s="13">
        <f>ORÇAMENTO!C91</f>
        <v>71186</v>
      </c>
      <c r="D227" s="173" t="str">
        <f>ORÇAMENTO!D91</f>
        <v>DISPOSITIVO DE PROTEÇÃO CONTRA SURTOS (D.P.S.) 275V DE 90KA</v>
      </c>
      <c r="E227" s="13" t="str">
        <f>ORÇAMENTO!F91</f>
        <v>und.</v>
      </c>
      <c r="F227" s="579">
        <f>ORÇAMENTO!E91</f>
        <v>152</v>
      </c>
      <c r="G227" s="580"/>
      <c r="H227" s="580"/>
      <c r="I227" s="580"/>
      <c r="J227" s="593"/>
    </row>
    <row r="228" spans="1:10" x14ac:dyDescent="0.3">
      <c r="A228" s="119" t="str">
        <f>ORÇAMENTO!A92</f>
        <v>6.30</v>
      </c>
      <c r="B228" s="12" t="str">
        <f>ORÇAMENTO!B92</f>
        <v>GOINFRA</v>
      </c>
      <c r="C228" s="13">
        <f>ORÇAMENTO!C92</f>
        <v>71190</v>
      </c>
      <c r="D228" s="173" t="str">
        <f>ORÇAMENTO!D92</f>
        <v>ELETROCALHA CH.Aº PRE ZN. FOGO "C" C/ABAS 50X50 MM S/TAMPA</v>
      </c>
      <c r="E228" s="13" t="str">
        <f>ORÇAMENTO!F92</f>
        <v>m</v>
      </c>
      <c r="F228" s="579">
        <f>ORÇAMENTO!E92</f>
        <v>749.3</v>
      </c>
      <c r="G228" s="580"/>
      <c r="H228" s="580"/>
      <c r="I228" s="580"/>
      <c r="J228" s="593"/>
    </row>
    <row r="229" spans="1:10" x14ac:dyDescent="0.3">
      <c r="A229" s="119" t="str">
        <f>ORÇAMENTO!A93</f>
        <v>6.31</v>
      </c>
      <c r="B229" s="12" t="str">
        <f>ORÇAMENTO!B93</f>
        <v>GOINFRA</v>
      </c>
      <c r="C229" s="13">
        <f>ORÇAMENTO!C93</f>
        <v>71193</v>
      </c>
      <c r="D229" s="173" t="str">
        <f>ORÇAMENTO!D93</f>
        <v xml:space="preserve">ELETRODUTO PVC FLEXÍVEL - MANGUEIRA CORRUGADA LEVE - DIAM. 20MM </v>
      </c>
      <c r="E229" s="13" t="str">
        <f>ORÇAMENTO!F93</f>
        <v>m</v>
      </c>
      <c r="F229" s="579">
        <f>ORÇAMENTO!E93</f>
        <v>1708.2</v>
      </c>
      <c r="G229" s="580"/>
      <c r="H229" s="580"/>
      <c r="I229" s="580"/>
      <c r="J229" s="593"/>
    </row>
    <row r="230" spans="1:10" x14ac:dyDescent="0.3">
      <c r="A230" s="119" t="str">
        <f>ORÇAMENTO!A94</f>
        <v>6.32</v>
      </c>
      <c r="B230" s="12" t="str">
        <f>ORÇAMENTO!B94</f>
        <v>GOINFRA</v>
      </c>
      <c r="C230" s="13">
        <f>ORÇAMENTO!C94</f>
        <v>71194</v>
      </c>
      <c r="D230" s="173" t="str">
        <f>ORÇAMENTO!D94</f>
        <v xml:space="preserve">ELETRODUTO PVC FLEXÍVEL - MANGUEIRA CORRUGADA LEVE - DIAM. 25MM </v>
      </c>
      <c r="E230" s="13" t="str">
        <f>ORÇAMENTO!F94</f>
        <v>m</v>
      </c>
      <c r="F230" s="579">
        <f>ORÇAMENTO!E94</f>
        <v>48.400000000000006</v>
      </c>
      <c r="G230" s="580"/>
      <c r="H230" s="580"/>
      <c r="I230" s="580"/>
      <c r="J230" s="593"/>
    </row>
    <row r="231" spans="1:10" x14ac:dyDescent="0.3">
      <c r="A231" s="119" t="str">
        <f>ORÇAMENTO!A95</f>
        <v>6.33</v>
      </c>
      <c r="B231" s="12" t="str">
        <f>ORÇAMENTO!B95</f>
        <v>GOINFRA</v>
      </c>
      <c r="C231" s="13">
        <f>ORÇAMENTO!C95</f>
        <v>71195</v>
      </c>
      <c r="D231" s="173" t="str">
        <f>ORÇAMENTO!D95</f>
        <v>ELETRODUTO PVC FLEXÍVEL - MANGUEIRA CORRUGADA LEVE - DIAM. 32MM</v>
      </c>
      <c r="E231" s="13" t="str">
        <f>ORÇAMENTO!F95</f>
        <v>m</v>
      </c>
      <c r="F231" s="579">
        <f>ORÇAMENTO!E95</f>
        <v>56.2</v>
      </c>
      <c r="G231" s="580"/>
      <c r="H231" s="580"/>
      <c r="I231" s="580"/>
      <c r="J231" s="593"/>
    </row>
    <row r="232" spans="1:10" x14ac:dyDescent="0.3">
      <c r="A232" s="119" t="str">
        <f>ORÇAMENTO!A96</f>
        <v>6.34</v>
      </c>
      <c r="B232" s="12" t="str">
        <f>ORÇAMENTO!B96</f>
        <v>GOINFRA</v>
      </c>
      <c r="C232" s="13">
        <f>ORÇAMENTO!C96</f>
        <v>71196</v>
      </c>
      <c r="D232" s="173" t="str">
        <f>ORÇAMENTO!D96</f>
        <v>ELETRODUTO PVC FLEXÍVEL - MANGUEIRA CORRUGADA REFORÇADA - DIAM. 40MM</v>
      </c>
      <c r="E232" s="13" t="str">
        <f>ORÇAMENTO!F96</f>
        <v>m</v>
      </c>
      <c r="F232" s="579">
        <f>ORÇAMENTO!E96</f>
        <v>39.599999999999994</v>
      </c>
      <c r="G232" s="580"/>
      <c r="H232" s="580"/>
      <c r="I232" s="580"/>
      <c r="J232" s="593"/>
    </row>
    <row r="233" spans="1:10" x14ac:dyDescent="0.3">
      <c r="A233" s="119" t="str">
        <f>ORÇAMENTO!A97</f>
        <v>6.35</v>
      </c>
      <c r="B233" s="12" t="str">
        <f>ORÇAMENTO!B97</f>
        <v>GOINFRA</v>
      </c>
      <c r="C233" s="13">
        <f>ORÇAMENTO!C97</f>
        <v>71197</v>
      </c>
      <c r="D233" s="173" t="str">
        <f>ORÇAMENTO!D97</f>
        <v>ELETRODUTO PVC FLEXÍVEL - MANGUEIRA CORRUGADA REFORÇADA - DIAM. 50MM</v>
      </c>
      <c r="E233" s="13" t="str">
        <f>ORÇAMENTO!F97</f>
        <v>m</v>
      </c>
      <c r="F233" s="579">
        <f>ORÇAMENTO!E97</f>
        <v>92.6</v>
      </c>
      <c r="G233" s="580"/>
      <c r="H233" s="580"/>
      <c r="I233" s="580"/>
      <c r="J233" s="593"/>
    </row>
    <row r="234" spans="1:10" x14ac:dyDescent="0.3">
      <c r="A234" s="119" t="str">
        <f>ORÇAMENTO!A98</f>
        <v>6.36</v>
      </c>
      <c r="B234" s="12" t="str">
        <f>ORÇAMENTO!B98</f>
        <v>GOINFRA</v>
      </c>
      <c r="C234" s="13">
        <f>ORÇAMENTO!C98</f>
        <v>71199</v>
      </c>
      <c r="D234" s="173" t="str">
        <f>ORÇAMENTO!D98</f>
        <v>ELETRODUTO PVC FLEXÍVEL - MANGUEIRA CORRUGADA REFORÇADA - DIAM. 75MM</v>
      </c>
      <c r="E234" s="13" t="str">
        <f>ORÇAMENTO!F98</f>
        <v>m</v>
      </c>
      <c r="F234" s="579">
        <f>ORÇAMENTO!E98</f>
        <v>113.4</v>
      </c>
      <c r="G234" s="580"/>
      <c r="H234" s="580"/>
      <c r="I234" s="580"/>
      <c r="J234" s="593"/>
    </row>
    <row r="235" spans="1:10" x14ac:dyDescent="0.3">
      <c r="A235" s="119" t="str">
        <f>ORÇAMENTO!A99</f>
        <v>6.37</v>
      </c>
      <c r="B235" s="12" t="str">
        <f>ORÇAMENTO!B99</f>
        <v>GOINFRA</v>
      </c>
      <c r="C235" s="13">
        <f>ORÇAMENTO!C99</f>
        <v>71203</v>
      </c>
      <c r="D235" s="173" t="str">
        <f>ORÇAMENTO!D99</f>
        <v>ELETRODUTO DE PVC RIGIDO DIAMETRO 1.1/2"</v>
      </c>
      <c r="E235" s="13" t="str">
        <f>ORÇAMENTO!F99</f>
        <v>m</v>
      </c>
      <c r="F235" s="579">
        <f>ORÇAMENTO!E99</f>
        <v>4</v>
      </c>
      <c r="G235" s="580"/>
      <c r="H235" s="580"/>
      <c r="I235" s="580"/>
      <c r="J235" s="593"/>
    </row>
    <row r="236" spans="1:10" x14ac:dyDescent="0.3">
      <c r="A236" s="119" t="str">
        <f>ORÇAMENTO!A100</f>
        <v>6.38</v>
      </c>
      <c r="B236" s="12" t="str">
        <f>ORÇAMENTO!B100</f>
        <v>GOINFRA</v>
      </c>
      <c r="C236" s="13">
        <f>ORÇAMENTO!C100</f>
        <v>71204</v>
      </c>
      <c r="D236" s="173" t="str">
        <f>ORÇAMENTO!D100</f>
        <v>ELETRODUTO DE PVC RIGIDO DIAMETRO 1.1/4"</v>
      </c>
      <c r="E236" s="13" t="str">
        <f>ORÇAMENTO!F100</f>
        <v>m</v>
      </c>
      <c r="F236" s="579">
        <f>ORÇAMENTO!E100</f>
        <v>4</v>
      </c>
      <c r="G236" s="580"/>
      <c r="H236" s="580"/>
      <c r="I236" s="580"/>
      <c r="J236" s="593"/>
    </row>
    <row r="237" spans="1:10" x14ac:dyDescent="0.3">
      <c r="A237" s="119" t="str">
        <f>ORÇAMENTO!A101</f>
        <v>6.39</v>
      </c>
      <c r="B237" s="12" t="str">
        <f>ORÇAMENTO!B101</f>
        <v>GOINFRA</v>
      </c>
      <c r="C237" s="13">
        <f>ORÇAMENTO!C101</f>
        <v>71208</v>
      </c>
      <c r="D237" s="173" t="str">
        <f>ORÇAMENTO!D101</f>
        <v>ELETRODUTO DE PVC RIGIDO DIAMETRO 4"</v>
      </c>
      <c r="E237" s="13" t="str">
        <f>ORÇAMENTO!F101</f>
        <v>m</v>
      </c>
      <c r="F237" s="579">
        <f>ORÇAMENTO!E101</f>
        <v>45.8</v>
      </c>
      <c r="G237" s="580"/>
      <c r="H237" s="580"/>
      <c r="I237" s="580"/>
      <c r="J237" s="593"/>
    </row>
    <row r="238" spans="1:10" x14ac:dyDescent="0.3">
      <c r="A238" s="119" t="str">
        <f>ORÇAMENTO!A102</f>
        <v>6.40</v>
      </c>
      <c r="B238" s="12" t="str">
        <f>ORÇAMENTO!B102</f>
        <v>GOINFRA</v>
      </c>
      <c r="C238" s="13">
        <f>ORÇAMENTO!C102</f>
        <v>71211</v>
      </c>
      <c r="D238" s="173" t="str">
        <f>ORÇAMENTO!D102</f>
        <v>ELETRODUTO EM AÇO GALVANIZADO A FOGO DIÂMETRO 3/4" - PESADO</v>
      </c>
      <c r="E238" s="13" t="str">
        <f>ORÇAMENTO!F102</f>
        <v>m</v>
      </c>
      <c r="F238" s="579">
        <f>ORÇAMENTO!E102</f>
        <v>31.6</v>
      </c>
      <c r="G238" s="580"/>
      <c r="H238" s="580"/>
      <c r="I238" s="580"/>
      <c r="J238" s="593"/>
    </row>
    <row r="239" spans="1:10" x14ac:dyDescent="0.3">
      <c r="A239" s="119" t="str">
        <f>ORÇAMENTO!A103</f>
        <v>6.41</v>
      </c>
      <c r="B239" s="12" t="str">
        <f>ORÇAMENTO!B103</f>
        <v>GOINFRA</v>
      </c>
      <c r="C239" s="13">
        <f>ORÇAMENTO!C103</f>
        <v>71290</v>
      </c>
      <c r="D239" s="173" t="str">
        <f>ORÇAMENTO!D103</f>
        <v>FIO ISOLADO PVC 750 V, No. 1,5 MM2</v>
      </c>
      <c r="E239" s="13" t="str">
        <f>ORÇAMENTO!F103</f>
        <v>m</v>
      </c>
      <c r="F239" s="579">
        <f>ORÇAMENTO!E103</f>
        <v>1089.3999999999999</v>
      </c>
      <c r="G239" s="580"/>
      <c r="H239" s="580"/>
      <c r="I239" s="580"/>
      <c r="J239" s="593"/>
    </row>
    <row r="240" spans="1:10" x14ac:dyDescent="0.3">
      <c r="A240" s="119" t="str">
        <f>ORÇAMENTO!A104</f>
        <v>6.42</v>
      </c>
      <c r="B240" s="12" t="str">
        <f>ORÇAMENTO!B104</f>
        <v>GOINFRA</v>
      </c>
      <c r="C240" s="13">
        <f>ORÇAMENTO!C104</f>
        <v>71291</v>
      </c>
      <c r="D240" s="173" t="str">
        <f>ORÇAMENTO!D104</f>
        <v xml:space="preserve">FIO ISOLADO PVC 750 V, No. 2,5 MM2 </v>
      </c>
      <c r="E240" s="13" t="str">
        <f>ORÇAMENTO!F104</f>
        <v xml:space="preserve">m </v>
      </c>
      <c r="F240" s="579">
        <f>ORÇAMENTO!E104</f>
        <v>3416.5000000000005</v>
      </c>
      <c r="G240" s="580"/>
      <c r="H240" s="580"/>
      <c r="I240" s="580"/>
      <c r="J240" s="593"/>
    </row>
    <row r="241" spans="1:10" x14ac:dyDescent="0.3">
      <c r="A241" s="119" t="str">
        <f>ORÇAMENTO!A105</f>
        <v>6.43</v>
      </c>
      <c r="B241" s="12" t="str">
        <f>ORÇAMENTO!B105</f>
        <v>GOINFRA</v>
      </c>
      <c r="C241" s="13">
        <f>ORÇAMENTO!C105</f>
        <v>71292</v>
      </c>
      <c r="D241" s="173" t="str">
        <f>ORÇAMENTO!D105</f>
        <v xml:space="preserve">FIO ISOLADO PVC 750 V, No. 4 MM2 </v>
      </c>
      <c r="E241" s="13" t="str">
        <f>ORÇAMENTO!F105</f>
        <v xml:space="preserve">m </v>
      </c>
      <c r="F241" s="579">
        <f>ORÇAMENTO!E105</f>
        <v>15763.400000000001</v>
      </c>
      <c r="G241" s="580"/>
      <c r="H241" s="580"/>
      <c r="I241" s="580"/>
      <c r="J241" s="593"/>
    </row>
    <row r="242" spans="1:10" x14ac:dyDescent="0.3">
      <c r="A242" s="119" t="str">
        <f>ORÇAMENTO!A106</f>
        <v>6.44</v>
      </c>
      <c r="B242" s="12" t="str">
        <f>ORÇAMENTO!B106</f>
        <v>GOINFRA</v>
      </c>
      <c r="C242" s="13">
        <f>ORÇAMENTO!C106</f>
        <v>71293</v>
      </c>
      <c r="D242" s="173" t="str">
        <f>ORÇAMENTO!D106</f>
        <v xml:space="preserve">FIO ISOLADO PVC 750 V, No. 6 MM2 </v>
      </c>
      <c r="E242" s="13" t="str">
        <f>ORÇAMENTO!F106</f>
        <v xml:space="preserve">m </v>
      </c>
      <c r="F242" s="579">
        <f>ORÇAMENTO!E106</f>
        <v>1755</v>
      </c>
      <c r="G242" s="580"/>
      <c r="H242" s="580"/>
      <c r="I242" s="580"/>
      <c r="J242" s="593"/>
    </row>
    <row r="243" spans="1:10" x14ac:dyDescent="0.3">
      <c r="A243" s="119" t="str">
        <f>ORÇAMENTO!A107</f>
        <v>6.45</v>
      </c>
      <c r="B243" s="12" t="str">
        <f>ORÇAMENTO!B107</f>
        <v>GOINFRA</v>
      </c>
      <c r="C243" s="13">
        <f>ORÇAMENTO!C107</f>
        <v>71294</v>
      </c>
      <c r="D243" s="173" t="str">
        <f>ORÇAMENTO!D107</f>
        <v xml:space="preserve">FIO ISOLADO PVC 750 V, No. 10 MM2 </v>
      </c>
      <c r="E243" s="13" t="str">
        <f>ORÇAMENTO!F107</f>
        <v>m</v>
      </c>
      <c r="F243" s="579">
        <f>ORÇAMENTO!E107</f>
        <v>733.30000000000007</v>
      </c>
      <c r="G243" s="580"/>
      <c r="H243" s="580"/>
      <c r="I243" s="580"/>
      <c r="J243" s="593"/>
    </row>
    <row r="244" spans="1:10" x14ac:dyDescent="0.3">
      <c r="A244" s="119" t="str">
        <f>ORÇAMENTO!A108</f>
        <v>6.46</v>
      </c>
      <c r="B244" s="12" t="str">
        <f>ORÇAMENTO!B108</f>
        <v>GOINFRA</v>
      </c>
      <c r="C244" s="13">
        <f>ORÇAMENTO!C108</f>
        <v>71391</v>
      </c>
      <c r="D244" s="173" t="str">
        <f>ORÇAMENTO!D108</f>
        <v>HASTE CANTONEIRA 2,40 M C/CONECTOR</v>
      </c>
      <c r="E244" s="13" t="str">
        <f>ORÇAMENTO!F108</f>
        <v>und.</v>
      </c>
      <c r="F244" s="579">
        <f>ORÇAMENTO!E108</f>
        <v>3</v>
      </c>
      <c r="G244" s="580"/>
      <c r="H244" s="580"/>
      <c r="I244" s="580"/>
      <c r="J244" s="593"/>
    </row>
    <row r="245" spans="1:10" x14ac:dyDescent="0.3">
      <c r="A245" s="119" t="str">
        <f>ORÇAMENTO!A109</f>
        <v>6.47</v>
      </c>
      <c r="B245" s="12" t="str">
        <f>ORÇAMENTO!B109</f>
        <v>GOINFRA</v>
      </c>
      <c r="C245" s="13">
        <f>ORÇAMENTO!C109</f>
        <v>71431</v>
      </c>
      <c r="D245" s="173" t="str">
        <f>ORÇAMENTO!D109</f>
        <v xml:space="preserve">INTERRUPTOR PARALELO SIMPLES (1 SECAO) </v>
      </c>
      <c r="E245" s="13" t="str">
        <f>ORÇAMENTO!F109</f>
        <v>und.</v>
      </c>
      <c r="F245" s="579">
        <f>ORÇAMENTO!E109</f>
        <v>4</v>
      </c>
      <c r="G245" s="580"/>
      <c r="H245" s="580"/>
      <c r="I245" s="580"/>
      <c r="J245" s="593"/>
    </row>
    <row r="246" spans="1:10" x14ac:dyDescent="0.3">
      <c r="A246" s="119" t="str">
        <f>ORÇAMENTO!A110</f>
        <v>6.48</v>
      </c>
      <c r="B246" s="12" t="str">
        <f>ORÇAMENTO!B110</f>
        <v>GOINFRA</v>
      </c>
      <c r="C246" s="13">
        <f>ORÇAMENTO!C110</f>
        <v>71440</v>
      </c>
      <c r="D246" s="173" t="str">
        <f>ORÇAMENTO!D110</f>
        <v>INTERRUPTOR SIMPLES (1 SECAO)</v>
      </c>
      <c r="E246" s="13" t="str">
        <f>ORÇAMENTO!F110</f>
        <v>und.</v>
      </c>
      <c r="F246" s="579">
        <f>ORÇAMENTO!E110</f>
        <v>38</v>
      </c>
      <c r="G246" s="580"/>
      <c r="H246" s="580"/>
      <c r="I246" s="580"/>
      <c r="J246" s="593"/>
    </row>
    <row r="247" spans="1:10" x14ac:dyDescent="0.3">
      <c r="A247" s="119" t="str">
        <f>ORÇAMENTO!A111</f>
        <v>6.49</v>
      </c>
      <c r="B247" s="12" t="str">
        <f>ORÇAMENTO!B111</f>
        <v>GOINFRA</v>
      </c>
      <c r="C247" s="13">
        <f>ORÇAMENTO!C111</f>
        <v>71441</v>
      </c>
      <c r="D247" s="173" t="str">
        <f>ORÇAMENTO!D111</f>
        <v xml:space="preserve">INTERRUPTOR SIMPLES (2 SECOES) </v>
      </c>
      <c r="E247" s="13" t="str">
        <f>ORÇAMENTO!F111</f>
        <v>und.</v>
      </c>
      <c r="F247" s="579">
        <f>ORÇAMENTO!E111</f>
        <v>1</v>
      </c>
      <c r="G247" s="580"/>
      <c r="H247" s="580"/>
      <c r="I247" s="580"/>
      <c r="J247" s="593"/>
    </row>
    <row r="248" spans="1:10" x14ac:dyDescent="0.3">
      <c r="A248" s="119" t="str">
        <f>ORÇAMENTO!A112</f>
        <v>6.50</v>
      </c>
      <c r="B248" s="12" t="str">
        <f>ORÇAMENTO!B112</f>
        <v>GOINFRA</v>
      </c>
      <c r="C248" s="13">
        <f>ORÇAMENTO!C112</f>
        <v>71443</v>
      </c>
      <c r="D248" s="173" t="str">
        <f>ORÇAMENTO!D112</f>
        <v xml:space="preserve">INTERRUPTOR SIMPLES 1 SEÇÃO E 1 TOMADA HEXAGONAL 2P + T - 10A CONJUGADOS </v>
      </c>
      <c r="E248" s="13" t="str">
        <f>ORÇAMENTO!F112</f>
        <v>und.</v>
      </c>
      <c r="F248" s="579">
        <f>ORÇAMENTO!E112</f>
        <v>12</v>
      </c>
      <c r="G248" s="580"/>
      <c r="H248" s="580"/>
      <c r="I248" s="580"/>
      <c r="J248" s="593"/>
    </row>
    <row r="249" spans="1:10" x14ac:dyDescent="0.3">
      <c r="A249" s="119" t="str">
        <f>ORÇAMENTO!A113</f>
        <v>6.51</v>
      </c>
      <c r="B249" s="12" t="str">
        <f>ORÇAMENTO!B113</f>
        <v>GOINFRA</v>
      </c>
      <c r="C249" s="13">
        <f>ORÇAMENTO!C113</f>
        <v>71455</v>
      </c>
      <c r="D249" s="173" t="str">
        <f>ORÇAMENTO!D113</f>
        <v>INTERRUPTOR DIFERENCIAL RESIDUAL (D.R.) TETRAPOLAR DE 25A-30mA</v>
      </c>
      <c r="E249" s="13" t="str">
        <f>ORÇAMENTO!F113</f>
        <v>und.</v>
      </c>
      <c r="F249" s="579">
        <f>ORÇAMENTO!E113</f>
        <v>37</v>
      </c>
      <c r="G249" s="580"/>
      <c r="H249" s="580"/>
      <c r="I249" s="580"/>
      <c r="J249" s="593"/>
    </row>
    <row r="250" spans="1:10" x14ac:dyDescent="0.3">
      <c r="A250" s="119" t="str">
        <f>ORÇAMENTO!A114</f>
        <v>6.52</v>
      </c>
      <c r="B250" s="12" t="str">
        <f>ORÇAMENTO!B114</f>
        <v>GOINFRA</v>
      </c>
      <c r="C250" s="13">
        <f>ORÇAMENTO!C114</f>
        <v>71457</v>
      </c>
      <c r="D250" s="173" t="str">
        <f>ORÇAMENTO!D114</f>
        <v>INTERRUPTOR DIFERENCIAL RESIDUAL (D.R.) TETRAPOLAR DE 63A-30mA</v>
      </c>
      <c r="E250" s="13" t="str">
        <f>ORÇAMENTO!F114</f>
        <v>und.</v>
      </c>
      <c r="F250" s="579">
        <f>ORÇAMENTO!E114</f>
        <v>1</v>
      </c>
      <c r="G250" s="580"/>
      <c r="H250" s="580"/>
      <c r="I250" s="580"/>
      <c r="J250" s="593"/>
    </row>
    <row r="251" spans="1:10" x14ac:dyDescent="0.3">
      <c r="A251" s="119" t="str">
        <f>ORÇAMENTO!A115</f>
        <v>6.53</v>
      </c>
      <c r="B251" s="12" t="str">
        <f>ORÇAMENTO!B115</f>
        <v>GOINFRA</v>
      </c>
      <c r="C251" s="13">
        <f>ORÇAMENTO!C115</f>
        <v>71481</v>
      </c>
      <c r="D251" s="173" t="str">
        <f>ORÇAMENTO!D115</f>
        <v>ISOLADOR ROLDANA PORCELANA 76 X 79</v>
      </c>
      <c r="E251" s="13" t="str">
        <f>ORÇAMENTO!F115</f>
        <v>und.</v>
      </c>
      <c r="F251" s="579">
        <f>ORÇAMENTO!E115</f>
        <v>14</v>
      </c>
      <c r="G251" s="580"/>
      <c r="H251" s="580"/>
      <c r="I251" s="580"/>
      <c r="J251" s="593"/>
    </row>
    <row r="252" spans="1:10" x14ac:dyDescent="0.3">
      <c r="A252" s="119" t="str">
        <f>ORÇAMENTO!A116</f>
        <v>6.54</v>
      </c>
      <c r="B252" s="12" t="str">
        <f>ORÇAMENTO!B116</f>
        <v>GOINFRA</v>
      </c>
      <c r="C252" s="13">
        <f>ORÇAMENTO!C116</f>
        <v>71622</v>
      </c>
      <c r="D252" s="173" t="str">
        <f>ORÇAMENTO!D116</f>
        <v xml:space="preserve">LUMINÁRIA DE SOBREPOR COM REFLETOR DE ALUMÍNIO E ALETAS 2X28W </v>
      </c>
      <c r="E252" s="13" t="str">
        <f>ORÇAMENTO!F116</f>
        <v>und.</v>
      </c>
      <c r="F252" s="579">
        <f>ORÇAMENTO!E116</f>
        <v>50</v>
      </c>
      <c r="G252" s="580"/>
      <c r="H252" s="580"/>
      <c r="I252" s="580"/>
      <c r="J252" s="593"/>
    </row>
    <row r="253" spans="1:10" x14ac:dyDescent="0.3">
      <c r="A253" s="119" t="str">
        <f>ORÇAMENTO!A117</f>
        <v>6.55</v>
      </c>
      <c r="B253" s="12" t="str">
        <f>ORÇAMENTO!B117</f>
        <v>GOINFRA</v>
      </c>
      <c r="C253" s="13">
        <f>ORÇAMENTO!C117</f>
        <v>71682</v>
      </c>
      <c r="D253" s="173" t="str">
        <f>ORÇAMENTO!D117</f>
        <v>LUMINÁRIA TIPO PROJETOR CIRCULAR ATÉ 200 W - BASE E-27</v>
      </c>
      <c r="E253" s="13" t="str">
        <f>ORÇAMENTO!F117</f>
        <v>und.</v>
      </c>
      <c r="F253" s="579">
        <f>ORÇAMENTO!E117</f>
        <v>233</v>
      </c>
      <c r="G253" s="580"/>
      <c r="H253" s="580"/>
      <c r="I253" s="580"/>
      <c r="J253" s="593"/>
    </row>
    <row r="254" spans="1:10" x14ac:dyDescent="0.3">
      <c r="A254" s="119" t="str">
        <f>ORÇAMENTO!A118</f>
        <v>6.56</v>
      </c>
      <c r="B254" s="12" t="str">
        <f>ORÇAMENTO!B118</f>
        <v>GOINFRA</v>
      </c>
      <c r="C254" s="13">
        <f>ORÇAMENTO!C118</f>
        <v>71773</v>
      </c>
      <c r="D254" s="173" t="str">
        <f>ORÇAMENTO!D118</f>
        <v>NIPLE METALICO Fo.Zo. DIAMETRO 1"</v>
      </c>
      <c r="E254" s="13" t="str">
        <f>ORÇAMENTO!F118</f>
        <v>und.</v>
      </c>
      <c r="F254" s="579">
        <f>ORÇAMENTO!E118</f>
        <v>3</v>
      </c>
      <c r="G254" s="580"/>
      <c r="H254" s="580"/>
      <c r="I254" s="580"/>
      <c r="J254" s="593"/>
    </row>
    <row r="255" spans="1:10" x14ac:dyDescent="0.3">
      <c r="A255" s="119" t="str">
        <f>ORÇAMENTO!A119</f>
        <v>6.57</v>
      </c>
      <c r="B255" s="12" t="str">
        <f>ORÇAMENTO!B119</f>
        <v>GOINFRA</v>
      </c>
      <c r="C255" s="13">
        <f>ORÇAMENTO!C119</f>
        <v>71774</v>
      </c>
      <c r="D255" s="173" t="str">
        <f>ORÇAMENTO!D119</f>
        <v>NIPLE METALICO Fo.Zo. DIAMETRO 1 1/4"</v>
      </c>
      <c r="E255" s="13" t="str">
        <f>ORÇAMENTO!F119</f>
        <v>und.</v>
      </c>
      <c r="F255" s="579">
        <f>ORÇAMENTO!E119</f>
        <v>3</v>
      </c>
      <c r="G255" s="580"/>
      <c r="H255" s="580"/>
      <c r="I255" s="580"/>
      <c r="J255" s="593"/>
    </row>
    <row r="256" spans="1:10" x14ac:dyDescent="0.3">
      <c r="A256" s="119" t="str">
        <f>ORÇAMENTO!A120</f>
        <v>6.58</v>
      </c>
      <c r="B256" s="12" t="str">
        <f>ORÇAMENTO!B120</f>
        <v>GOINFRA</v>
      </c>
      <c r="C256" s="13">
        <f>ORÇAMENTO!C120</f>
        <v>71824</v>
      </c>
      <c r="D256" s="173" t="str">
        <f>ORÇAMENTO!D120</f>
        <v>PADRÃO TRIFASICO 35 MM H=7 METROS</v>
      </c>
      <c r="E256" s="13" t="str">
        <f>ORÇAMENTO!F120</f>
        <v>und.</v>
      </c>
      <c r="F256" s="579">
        <f>ORÇAMENTO!E120</f>
        <v>1</v>
      </c>
      <c r="G256" s="580"/>
      <c r="H256" s="580"/>
      <c r="I256" s="580"/>
      <c r="J256" s="593"/>
    </row>
    <row r="257" spans="1:10" x14ac:dyDescent="0.3">
      <c r="A257" s="119" t="str">
        <f>ORÇAMENTO!A121</f>
        <v>6.59</v>
      </c>
      <c r="B257" s="12" t="str">
        <f>ORÇAMENTO!B121</f>
        <v>GOINFRA</v>
      </c>
      <c r="C257" s="13">
        <f>ORÇAMENTO!C121</f>
        <v>71870</v>
      </c>
      <c r="D257" s="173" t="str">
        <f>ORÇAMENTO!D121</f>
        <v>PARAFUSO SEXTAVADO D = 1/4" X 5/8"</v>
      </c>
      <c r="E257" s="13" t="str">
        <f>ORÇAMENTO!F121</f>
        <v>und.</v>
      </c>
      <c r="F257" s="579">
        <f>ORÇAMENTO!E121</f>
        <v>598</v>
      </c>
      <c r="G257" s="580"/>
      <c r="H257" s="580"/>
      <c r="I257" s="580"/>
      <c r="J257" s="593"/>
    </row>
    <row r="258" spans="1:10" x14ac:dyDescent="0.3">
      <c r="A258" s="119" t="str">
        <f>ORÇAMENTO!A122</f>
        <v>6.60</v>
      </c>
      <c r="B258" s="12" t="str">
        <f>ORÇAMENTO!B122</f>
        <v>GOINFRA</v>
      </c>
      <c r="C258" s="13">
        <f>ORÇAMENTO!C122</f>
        <v>71871</v>
      </c>
      <c r="D258" s="173" t="str">
        <f>ORÇAMENTO!D122</f>
        <v>PARAFUSO SEXTAVADO D = 3/8" X 3/4"</v>
      </c>
      <c r="E258" s="13" t="str">
        <f>ORÇAMENTO!F122</f>
        <v>und.</v>
      </c>
      <c r="F258" s="579">
        <f>ORÇAMENTO!E122</f>
        <v>2</v>
      </c>
      <c r="G258" s="580"/>
      <c r="H258" s="580"/>
      <c r="I258" s="580"/>
      <c r="J258" s="593"/>
    </row>
    <row r="259" spans="1:10" x14ac:dyDescent="0.3">
      <c r="A259" s="119" t="str">
        <f>ORÇAMENTO!A123</f>
        <v>6.61</v>
      </c>
      <c r="B259" s="12" t="str">
        <f>ORÇAMENTO!B123</f>
        <v>GOINFRA</v>
      </c>
      <c r="C259" s="13">
        <f>ORÇAMENTO!C123</f>
        <v>71872</v>
      </c>
      <c r="D259" s="173" t="str">
        <f>ORÇAMENTO!D123</f>
        <v>PARAFUSO SEXTAVADO CABEÇA LENTILHA D = 1/4" X 5/8"</v>
      </c>
      <c r="E259" s="13" t="str">
        <f>ORÇAMENTO!F123</f>
        <v>und.</v>
      </c>
      <c r="F259" s="579">
        <f>ORÇAMENTO!E123</f>
        <v>1472</v>
      </c>
      <c r="G259" s="580"/>
      <c r="H259" s="580"/>
      <c r="I259" s="580"/>
      <c r="J259" s="593"/>
    </row>
    <row r="260" spans="1:10" x14ac:dyDescent="0.3">
      <c r="A260" s="119" t="str">
        <f>ORÇAMENTO!A124</f>
        <v>6.62</v>
      </c>
      <c r="B260" s="12" t="str">
        <f>ORÇAMENTO!B124</f>
        <v>GOINFRA</v>
      </c>
      <c r="C260" s="13">
        <f>ORÇAMENTO!C124</f>
        <v>71981</v>
      </c>
      <c r="D260" s="173" t="str">
        <f>ORÇAMENTO!D124</f>
        <v>PORCA SEXTAVADA DIAMETRO 1/4"</v>
      </c>
      <c r="E260" s="13" t="str">
        <f>ORÇAMENTO!F124</f>
        <v>und.</v>
      </c>
      <c r="F260" s="579">
        <f>ORÇAMENTO!E124</f>
        <v>2064</v>
      </c>
      <c r="G260" s="580"/>
      <c r="H260" s="580"/>
      <c r="I260" s="580"/>
      <c r="J260" s="593"/>
    </row>
    <row r="261" spans="1:10" x14ac:dyDescent="0.3">
      <c r="A261" s="119" t="str">
        <f>ORÇAMENTO!A125</f>
        <v>6.63</v>
      </c>
      <c r="B261" s="12" t="str">
        <f>ORÇAMENTO!B125</f>
        <v>GOINFRA</v>
      </c>
      <c r="C261" s="13">
        <f>ORÇAMENTO!C125</f>
        <v>72660</v>
      </c>
      <c r="D261" s="173" t="str">
        <f>ORÇAMENTO!D125</f>
        <v>VERGALHAO ROSCA TOTAL D=1/4"</v>
      </c>
      <c r="E261" s="13" t="str">
        <f>ORÇAMENTO!F125</f>
        <v>m</v>
      </c>
      <c r="F261" s="579">
        <f>ORÇAMENTO!E125</f>
        <v>151</v>
      </c>
      <c r="G261" s="580"/>
      <c r="H261" s="580"/>
      <c r="I261" s="580"/>
      <c r="J261" s="593"/>
    </row>
    <row r="262" spans="1:10" x14ac:dyDescent="0.3">
      <c r="A262" s="119" t="str">
        <f>ORÇAMENTO!A126</f>
        <v>6.64</v>
      </c>
      <c r="B262" s="12" t="str">
        <f>ORÇAMENTO!B126</f>
        <v>GOINFRA</v>
      </c>
      <c r="C262" s="13">
        <f>ORÇAMENTO!C126</f>
        <v>72170</v>
      </c>
      <c r="D262" s="173" t="str">
        <f>ORÇAMENTO!D126</f>
        <v>QUADRO DE DISTRIBUIÇÃO DE EMBUTIR EM PVC CB 12E - 80A</v>
      </c>
      <c r="E262" s="13" t="str">
        <f>ORÇAMENTO!F126</f>
        <v>und.</v>
      </c>
      <c r="F262" s="579">
        <f>ORÇAMENTO!E126</f>
        <v>1</v>
      </c>
      <c r="G262" s="580"/>
      <c r="H262" s="580"/>
      <c r="I262" s="580"/>
      <c r="J262" s="593"/>
    </row>
    <row r="263" spans="1:10" x14ac:dyDescent="0.3">
      <c r="A263" s="119" t="str">
        <f>ORÇAMENTO!A127</f>
        <v>6.65</v>
      </c>
      <c r="B263" s="12" t="str">
        <f>ORÇAMENTO!B127</f>
        <v>GOINFRA</v>
      </c>
      <c r="C263" s="13">
        <f>ORÇAMENTO!C127</f>
        <v>72190</v>
      </c>
      <c r="D263" s="173" t="str">
        <f>ORÇAMENTO!D127</f>
        <v xml:space="preserve">QUADRO DE DISTRIBUIÇÃO DE EMBUTIR METÁLICO CB-24E - 150A </v>
      </c>
      <c r="E263" s="13" t="str">
        <f>ORÇAMENTO!F127</f>
        <v>und.</v>
      </c>
      <c r="F263" s="579">
        <f>ORÇAMENTO!E127</f>
        <v>37</v>
      </c>
      <c r="G263" s="580"/>
      <c r="H263" s="580"/>
      <c r="I263" s="580"/>
      <c r="J263" s="593"/>
    </row>
    <row r="264" spans="1:10" x14ac:dyDescent="0.3">
      <c r="A264" s="119" t="str">
        <f>ORÇAMENTO!A128</f>
        <v>6.66</v>
      </c>
      <c r="B264" s="12" t="str">
        <f>ORÇAMENTO!B128</f>
        <v>GOINFRA</v>
      </c>
      <c r="C264" s="13">
        <f>ORÇAMENTO!C128</f>
        <v>72201</v>
      </c>
      <c r="D264" s="173" t="str">
        <f>ORÇAMENTO!D128</f>
        <v xml:space="preserve">QUADRO DE DISTRIBUIÇÃO DE EMBUTIR METÁLICO CB-44E - 150A </v>
      </c>
      <c r="E264" s="13" t="str">
        <f>ORÇAMENTO!F128</f>
        <v>und.</v>
      </c>
      <c r="F264" s="579">
        <f>ORÇAMENTO!E128</f>
        <v>1</v>
      </c>
      <c r="G264" s="580"/>
      <c r="H264" s="580"/>
      <c r="I264" s="580"/>
      <c r="J264" s="593"/>
    </row>
    <row r="265" spans="1:10" x14ac:dyDescent="0.3">
      <c r="A265" s="119" t="str">
        <f>ORÇAMENTO!A129</f>
        <v>6.67</v>
      </c>
      <c r="B265" s="12" t="str">
        <f>ORÇAMENTO!B129</f>
        <v>GOINFRA</v>
      </c>
      <c r="C265" s="13">
        <f>ORÇAMENTO!C129</f>
        <v>72371</v>
      </c>
      <c r="D265" s="173" t="str">
        <f>ORÇAMENTO!D129</f>
        <v>SUP0RTE VERTICAL P/CANTONEIRA 50 X 50 MM</v>
      </c>
      <c r="E265" s="13" t="str">
        <f>ORÇAMENTO!F129</f>
        <v>und.</v>
      </c>
      <c r="F265" s="579">
        <f>ORÇAMENTO!E129</f>
        <v>601</v>
      </c>
      <c r="G265" s="580"/>
      <c r="H265" s="580"/>
      <c r="I265" s="580"/>
      <c r="J265" s="593"/>
    </row>
    <row r="266" spans="1:10" x14ac:dyDescent="0.3">
      <c r="A266" s="119" t="str">
        <f>ORÇAMENTO!A130</f>
        <v>6.68</v>
      </c>
      <c r="B266" s="12" t="str">
        <f>ORÇAMENTO!B130</f>
        <v>GOINFRA</v>
      </c>
      <c r="C266" s="13">
        <f>ORÇAMENTO!C130</f>
        <v>72376</v>
      </c>
      <c r="D266" s="173" t="str">
        <f>ORÇAMENTO!D130</f>
        <v>TAMPA DE ENCAIXE PARA ELETROCALHA DE 50 X 50 MM</v>
      </c>
      <c r="E266" s="13" t="str">
        <f>ORÇAMENTO!F130</f>
        <v>m</v>
      </c>
      <c r="F266" s="579">
        <f>ORÇAMENTO!E130</f>
        <v>749.3</v>
      </c>
      <c r="G266" s="580"/>
      <c r="H266" s="580"/>
      <c r="I266" s="580"/>
      <c r="J266" s="593"/>
    </row>
    <row r="267" spans="1:10" x14ac:dyDescent="0.3">
      <c r="A267" s="119" t="str">
        <f>ORÇAMENTO!A131</f>
        <v>6.69</v>
      </c>
      <c r="B267" s="12" t="str">
        <f>ORÇAMENTO!B131</f>
        <v>GOINFRA</v>
      </c>
      <c r="C267" s="13">
        <f>ORÇAMENTO!C131</f>
        <v>72570</v>
      </c>
      <c r="D267" s="173" t="str">
        <f>ORÇAMENTO!D131</f>
        <v xml:space="preserve">TOMADA HEXAGONAL 2P + T - 10A - 250V (LINHA X OU EQUIVALENTE) </v>
      </c>
      <c r="E267" s="13" t="str">
        <f>ORÇAMENTO!F131</f>
        <v>und.</v>
      </c>
      <c r="F267" s="579">
        <f>ORÇAMENTO!E131</f>
        <v>40</v>
      </c>
      <c r="G267" s="580"/>
      <c r="H267" s="580"/>
      <c r="I267" s="580"/>
      <c r="J267" s="593"/>
    </row>
    <row r="268" spans="1:10" x14ac:dyDescent="0.3">
      <c r="A268" s="119" t="str">
        <f>ORÇAMENTO!A132</f>
        <v>6.70</v>
      </c>
      <c r="B268" s="12" t="str">
        <f>ORÇAMENTO!B132</f>
        <v>GOINFRA</v>
      </c>
      <c r="C268" s="13">
        <f>ORÇAMENTO!C132</f>
        <v>72575</v>
      </c>
      <c r="D268" s="173" t="str">
        <f>ORÇAMENTO!D132</f>
        <v xml:space="preserve">TOMADA HEXAGONAL 2P + T - 20A - 250V (LINHA X OU EQUIVALENTE) </v>
      </c>
      <c r="E268" s="13" t="str">
        <f>ORÇAMENTO!F132</f>
        <v>und.</v>
      </c>
      <c r="F268" s="579">
        <f>ORÇAMENTO!E132</f>
        <v>163</v>
      </c>
      <c r="G268" s="580"/>
      <c r="H268" s="580"/>
      <c r="I268" s="580"/>
      <c r="J268" s="593"/>
    </row>
    <row r="269" spans="1:10" x14ac:dyDescent="0.3">
      <c r="A269" s="119" t="str">
        <f>ORÇAMENTO!A133</f>
        <v>6.71</v>
      </c>
      <c r="B269" s="12" t="str">
        <f>ORÇAMENTO!B133</f>
        <v>GOINFRA</v>
      </c>
      <c r="C269" s="13">
        <f>ORÇAMENTO!C133</f>
        <v>72397</v>
      </c>
      <c r="D269" s="173" t="str">
        <f>ORÇAMENTO!D133</f>
        <v>TAMPA CEGA PLÁSTICA 4"X2" COM FURO CENTRAL (PARA TV/SOM...)</v>
      </c>
      <c r="E269" s="13" t="str">
        <f>ORÇAMENTO!F133</f>
        <v>und.</v>
      </c>
      <c r="F269" s="579">
        <f>ORÇAMENTO!E133</f>
        <v>3</v>
      </c>
      <c r="G269" s="580"/>
      <c r="H269" s="580"/>
      <c r="I269" s="580"/>
      <c r="J269" s="593"/>
    </row>
    <row r="270" spans="1:10" x14ac:dyDescent="0.3">
      <c r="A270" s="119" t="str">
        <f>ORÇAMENTO!A134</f>
        <v>6.72</v>
      </c>
      <c r="B270" s="12" t="str">
        <f>ORÇAMENTO!B134</f>
        <v>GOINFRA</v>
      </c>
      <c r="C270" s="13">
        <f>ORÇAMENTO!C134</f>
        <v>72430</v>
      </c>
      <c r="D270" s="173" t="str">
        <f>ORÇAMENTO!D134</f>
        <v>TAMPA PARA CONDULETE DE PVC PARA 1 INTERRUPTOR</v>
      </c>
      <c r="E270" s="13" t="str">
        <f>ORÇAMENTO!F134</f>
        <v>und.</v>
      </c>
      <c r="F270" s="579">
        <f>ORÇAMENTO!E134</f>
        <v>29</v>
      </c>
      <c r="G270" s="580"/>
      <c r="H270" s="580"/>
      <c r="I270" s="580"/>
      <c r="J270" s="593"/>
    </row>
    <row r="271" spans="1:10" x14ac:dyDescent="0.3">
      <c r="A271" s="119" t="str">
        <f>ORÇAMENTO!A135</f>
        <v>6.73</v>
      </c>
      <c r="B271" s="12" t="str">
        <f>ORÇAMENTO!B135</f>
        <v>GOINFRA</v>
      </c>
      <c r="C271" s="13">
        <f>ORÇAMENTO!C135</f>
        <v>72435</v>
      </c>
      <c r="D271" s="173" t="str">
        <f>ORÇAMENTO!D135</f>
        <v>TAMPA PARA CONDULETE DE PVC PARA 2 INTERRUPTORES</v>
      </c>
      <c r="E271" s="13" t="str">
        <f>ORÇAMENTO!F135</f>
        <v>und.</v>
      </c>
      <c r="F271" s="579">
        <f>ORÇAMENTO!E135</f>
        <v>45</v>
      </c>
      <c r="G271" s="580"/>
      <c r="H271" s="580"/>
      <c r="I271" s="580"/>
      <c r="J271" s="593"/>
    </row>
    <row r="272" spans="1:10" ht="29.4" thickBot="1" x14ac:dyDescent="0.35">
      <c r="A272" s="319" t="str">
        <f>ORÇAMENTO!A136</f>
        <v>6.74</v>
      </c>
      <c r="B272" s="320" t="str">
        <f>ORÇAMENTO!B136</f>
        <v xml:space="preserve">SINAPI </v>
      </c>
      <c r="C272" s="252">
        <f>ORÇAMENTO!C136</f>
        <v>92026</v>
      </c>
      <c r="D272" s="321" t="str">
        <f>ORÇAMENTO!D136</f>
        <v>INTERRUPTOR SIMPLES (2 MÓDULOS) COM 1 TOMADA DE EMBUTIR 2P+T 10 A, SEM SUPORTE E SEM PLACA - FORNECIMENTO E INSTALAÇÃO. AF_12/2015</v>
      </c>
      <c r="E272" s="252" t="str">
        <f>ORÇAMENTO!F136</f>
        <v>und.</v>
      </c>
      <c r="F272" s="627">
        <f>ORÇAMENTO!E136</f>
        <v>6</v>
      </c>
      <c r="G272" s="628"/>
      <c r="H272" s="628"/>
      <c r="I272" s="628"/>
      <c r="J272" s="629"/>
    </row>
    <row r="273" spans="1:10" ht="15" thickBot="1" x14ac:dyDescent="0.35">
      <c r="A273" s="582" t="s">
        <v>30</v>
      </c>
      <c r="B273" s="583"/>
      <c r="C273" s="583"/>
      <c r="D273" s="583"/>
      <c r="E273" s="583"/>
      <c r="F273" s="583"/>
      <c r="G273" s="583"/>
      <c r="H273" s="583"/>
      <c r="I273" s="583"/>
      <c r="J273" s="584"/>
    </row>
    <row r="274" spans="1:10" x14ac:dyDescent="0.3">
      <c r="A274" s="309">
        <v>7</v>
      </c>
      <c r="B274" s="310" t="s">
        <v>23</v>
      </c>
      <c r="C274" s="311">
        <v>80000</v>
      </c>
      <c r="D274" s="624" t="s">
        <v>31</v>
      </c>
      <c r="E274" s="625"/>
      <c r="F274" s="625"/>
      <c r="G274" s="625"/>
      <c r="H274" s="625"/>
      <c r="I274" s="625"/>
      <c r="J274" s="312"/>
    </row>
    <row r="275" spans="1:10" x14ac:dyDescent="0.3">
      <c r="A275" s="119" t="str">
        <f>ORÇAMENTO!A140</f>
        <v>7.1</v>
      </c>
      <c r="B275" s="12" t="str">
        <f>ORÇAMENTO!B140</f>
        <v>GOINFRA</v>
      </c>
      <c r="C275" s="13">
        <f>ORÇAMENTO!C140</f>
        <v>80500</v>
      </c>
      <c r="D275" s="52" t="str">
        <f>ORÇAMENTO!D140</f>
        <v>L O U C A S E M E T A I S</v>
      </c>
      <c r="E275" s="153"/>
      <c r="F275" s="565"/>
      <c r="G275" s="566"/>
      <c r="H275" s="566"/>
      <c r="I275" s="566"/>
      <c r="J275" s="661"/>
    </row>
    <row r="276" spans="1:10" x14ac:dyDescent="0.3">
      <c r="A276" s="119" t="str">
        <f>ORÇAMENTO!A141</f>
        <v>7.2</v>
      </c>
      <c r="B276" s="12" t="str">
        <f>ORÇAMENTO!B141</f>
        <v>GOINFRA</v>
      </c>
      <c r="C276" s="13">
        <f>ORÇAMENTO!C141</f>
        <v>80501</v>
      </c>
      <c r="D276" s="52" t="str">
        <f>ORÇAMENTO!D141</f>
        <v>V A S O S A N I T A R I O / A C E S S O R I O S</v>
      </c>
      <c r="E276" s="153"/>
      <c r="F276" s="578"/>
      <c r="G276" s="622"/>
      <c r="H276" s="622"/>
      <c r="I276" s="622"/>
      <c r="J276" s="623"/>
    </row>
    <row r="277" spans="1:10" x14ac:dyDescent="0.3">
      <c r="A277" s="119" t="str">
        <f>ORÇAMENTO!A142</f>
        <v>7.3</v>
      </c>
      <c r="B277" s="12" t="str">
        <f>ORÇAMENTO!B142</f>
        <v>GOINFRA</v>
      </c>
      <c r="C277" s="13">
        <f>ORÇAMENTO!C142</f>
        <v>80503</v>
      </c>
      <c r="D277" s="52" t="str">
        <f>ORÇAMENTO!D142</f>
        <v>VASO SANITÁRIO PARA P.N.E. SEM ABERTURA FRONTAL</v>
      </c>
      <c r="E277" s="153" t="str">
        <f>ORÇAMENTO!F142</f>
        <v>und.</v>
      </c>
      <c r="F277" s="578">
        <f>ORÇAMENTO!E142</f>
        <v>4</v>
      </c>
      <c r="G277" s="622"/>
      <c r="H277" s="622"/>
      <c r="I277" s="622"/>
      <c r="J277" s="623"/>
    </row>
    <row r="278" spans="1:10" x14ac:dyDescent="0.3">
      <c r="A278" s="119" t="str">
        <f>ORÇAMENTO!A143</f>
        <v>7.4</v>
      </c>
      <c r="B278" s="12" t="str">
        <f>ORÇAMENTO!B143</f>
        <v>GOINFRA</v>
      </c>
      <c r="C278" s="13">
        <f>ORÇAMENTO!C143</f>
        <v>80504</v>
      </c>
      <c r="D278" s="52" t="str">
        <f>ORÇAMENTO!D143</f>
        <v>VASO SANITÁRIO COM CAIXA ACOPLADA COM DUPLO ACIONAMENTO - COMPLETO EXCLUSO O ASSENTO</v>
      </c>
      <c r="E278" s="153" t="str">
        <f>ORÇAMENTO!F143</f>
        <v>und.</v>
      </c>
      <c r="F278" s="578">
        <f>ORÇAMENTO!E143</f>
        <v>9</v>
      </c>
      <c r="G278" s="622"/>
      <c r="H278" s="622"/>
      <c r="I278" s="622"/>
      <c r="J278" s="623"/>
    </row>
    <row r="279" spans="1:10" x14ac:dyDescent="0.3">
      <c r="A279" s="119" t="str">
        <f>ORÇAMENTO!A144</f>
        <v>7.5</v>
      </c>
      <c r="B279" s="12" t="str">
        <f>ORÇAMENTO!B144</f>
        <v>GOINFRA</v>
      </c>
      <c r="C279" s="13">
        <f>ORÇAMENTO!C144</f>
        <v>80519</v>
      </c>
      <c r="D279" s="52" t="str">
        <f>ORÇAMENTO!D144</f>
        <v>VÁLVULA DE DESCARGA PARA P.N.E. COM ACABAMENTO CROMADO ANTIVANDALISMO</v>
      </c>
      <c r="E279" s="153" t="str">
        <f>ORÇAMENTO!F144</f>
        <v>und.</v>
      </c>
      <c r="F279" s="578">
        <f>ORÇAMENTO!E144</f>
        <v>4</v>
      </c>
      <c r="G279" s="622"/>
      <c r="H279" s="622"/>
      <c r="I279" s="622"/>
      <c r="J279" s="623"/>
    </row>
    <row r="280" spans="1:10" x14ac:dyDescent="0.3">
      <c r="A280" s="119" t="str">
        <f>ORÇAMENTO!A145</f>
        <v>7.6</v>
      </c>
      <c r="B280" s="12" t="str">
        <f>ORÇAMENTO!B145</f>
        <v>GOINFRA</v>
      </c>
      <c r="C280" s="13">
        <f>ORÇAMENTO!C145</f>
        <v>80526</v>
      </c>
      <c r="D280" s="52" t="str">
        <f>ORÇAMENTO!D145</f>
        <v xml:space="preserve">ASSENTO EM POLIPROPILENO COM SISTEMA DE FECHAMENTO SUAVE PARA VASO SANITÁRIO </v>
      </c>
      <c r="E280" s="153" t="str">
        <f>ORÇAMENTO!F145</f>
        <v>und.</v>
      </c>
      <c r="F280" s="578">
        <f>ORÇAMENTO!E145</f>
        <v>9</v>
      </c>
      <c r="G280" s="622"/>
      <c r="H280" s="622"/>
      <c r="I280" s="622"/>
      <c r="J280" s="623"/>
    </row>
    <row r="281" spans="1:10" x14ac:dyDescent="0.3">
      <c r="A281" s="119" t="str">
        <f>ORÇAMENTO!A146</f>
        <v>7.7</v>
      </c>
      <c r="B281" s="12" t="str">
        <f>ORÇAMENTO!B146</f>
        <v>GOINFRA</v>
      </c>
      <c r="C281" s="13">
        <f>ORÇAMENTO!C146</f>
        <v>80532</v>
      </c>
      <c r="D281" s="52" t="str">
        <f>ORÇAMENTO!D146</f>
        <v xml:space="preserve">PORTA PAPEL HIGIÊNICO EM METAL/ACABAMENTO CROMADO </v>
      </c>
      <c r="E281" s="153" t="str">
        <f>ORÇAMENTO!F146</f>
        <v>und.</v>
      </c>
      <c r="F281" s="578">
        <f>ORÇAMENTO!E146</f>
        <v>13</v>
      </c>
      <c r="G281" s="622"/>
      <c r="H281" s="622"/>
      <c r="I281" s="622"/>
      <c r="J281" s="623"/>
    </row>
    <row r="282" spans="1:10" x14ac:dyDescent="0.3">
      <c r="A282" s="119" t="str">
        <f>ORÇAMENTO!A147</f>
        <v>7.8</v>
      </c>
      <c r="B282" s="12" t="str">
        <f>ORÇAMENTO!B147</f>
        <v>GOINFRA</v>
      </c>
      <c r="C282" s="13">
        <f>ORÇAMENTO!C147</f>
        <v>80540</v>
      </c>
      <c r="D282" s="52" t="str">
        <f>ORÇAMENTO!D147</f>
        <v>L A V A T O R I O / A C E S S O R I O S</v>
      </c>
      <c r="E282" s="153"/>
      <c r="F282" s="578"/>
      <c r="G282" s="622"/>
      <c r="H282" s="622"/>
      <c r="I282" s="622"/>
      <c r="J282" s="623"/>
    </row>
    <row r="283" spans="1:10" x14ac:dyDescent="0.3">
      <c r="A283" s="119" t="str">
        <f>ORÇAMENTO!A148</f>
        <v>7.9</v>
      </c>
      <c r="B283" s="12" t="str">
        <f>ORÇAMENTO!B148</f>
        <v>GOINFRA</v>
      </c>
      <c r="C283" s="13">
        <f>ORÇAMENTO!C148</f>
        <v>80542</v>
      </c>
      <c r="D283" s="52" t="str">
        <f>ORÇAMENTO!D148</f>
        <v>LAVATÓRIO MÉDIO SEM COLUNA</v>
      </c>
      <c r="E283" s="153" t="str">
        <f>ORÇAMENTO!F148</f>
        <v>und.</v>
      </c>
      <c r="F283" s="578">
        <f>ORÇAMENTO!E148</f>
        <v>4</v>
      </c>
      <c r="G283" s="622"/>
      <c r="H283" s="622"/>
      <c r="I283" s="622"/>
      <c r="J283" s="623"/>
    </row>
    <row r="284" spans="1:10" x14ac:dyDescent="0.3">
      <c r="A284" s="119" t="str">
        <f>ORÇAMENTO!A149</f>
        <v>7.10</v>
      </c>
      <c r="B284" s="12" t="str">
        <f>ORÇAMENTO!B149</f>
        <v>GOINFRA</v>
      </c>
      <c r="C284" s="13">
        <f>ORÇAMENTO!C149</f>
        <v>80555</v>
      </c>
      <c r="D284" s="52" t="str">
        <f>ORÇAMENTO!D149</f>
        <v xml:space="preserve">LIGAÇÃO FLEXÍVEL METÁLICA DIAM.1/2"(ENGATE) </v>
      </c>
      <c r="E284" s="153" t="str">
        <f>ORÇAMENTO!F149</f>
        <v>und.</v>
      </c>
      <c r="F284" s="578">
        <f>ORÇAMENTO!E149</f>
        <v>2</v>
      </c>
      <c r="G284" s="622"/>
      <c r="H284" s="622"/>
      <c r="I284" s="622"/>
      <c r="J284" s="623"/>
    </row>
    <row r="285" spans="1:10" x14ac:dyDescent="0.3">
      <c r="A285" s="119" t="str">
        <f>ORÇAMENTO!A150</f>
        <v>7.11</v>
      </c>
      <c r="B285" s="12" t="str">
        <f>ORÇAMENTO!B150</f>
        <v>GOINFRA</v>
      </c>
      <c r="C285" s="13">
        <f>ORÇAMENTO!C150</f>
        <v>80556</v>
      </c>
      <c r="D285" s="52" t="str">
        <f>ORÇAMENTO!D150</f>
        <v>LIGAÇÃO FLEXÍVEL PVC DIAM.1/2" (ENGATE)</v>
      </c>
      <c r="E285" s="153" t="str">
        <f>ORÇAMENTO!F150</f>
        <v>und.</v>
      </c>
      <c r="F285" s="578">
        <f>ORÇAMENTO!E150</f>
        <v>13</v>
      </c>
      <c r="G285" s="622"/>
      <c r="H285" s="622"/>
      <c r="I285" s="622"/>
      <c r="J285" s="623"/>
    </row>
    <row r="286" spans="1:10" x14ac:dyDescent="0.3">
      <c r="A286" s="119" t="str">
        <f>ORÇAMENTO!A151</f>
        <v>7.12</v>
      </c>
      <c r="B286" s="12" t="str">
        <f>ORÇAMENTO!B151</f>
        <v>GOINFRA</v>
      </c>
      <c r="C286" s="13">
        <f>ORÇAMENTO!C151</f>
        <v>80562</v>
      </c>
      <c r="D286" s="52" t="str">
        <f>ORÇAMENTO!D151</f>
        <v xml:space="preserve">SIFAO FLEXIVEL UNIVERSAL ( SANFONADO) EM PVC PARA LAVATORIO </v>
      </c>
      <c r="E286" s="153" t="str">
        <f>ORÇAMENTO!F151</f>
        <v>und.</v>
      </c>
      <c r="F286" s="578">
        <f>ORÇAMENTO!E151</f>
        <v>15</v>
      </c>
      <c r="G286" s="622"/>
      <c r="H286" s="622"/>
      <c r="I286" s="622"/>
      <c r="J286" s="623"/>
    </row>
    <row r="287" spans="1:10" x14ac:dyDescent="0.3">
      <c r="A287" s="119" t="str">
        <f>ORÇAMENTO!A152</f>
        <v>7.13</v>
      </c>
      <c r="B287" s="12" t="str">
        <f>ORÇAMENTO!B152</f>
        <v>GOINFRA</v>
      </c>
      <c r="C287" s="13">
        <f>ORÇAMENTO!C152</f>
        <v>80570</v>
      </c>
      <c r="D287" s="52" t="str">
        <f>ORÇAMENTO!D152</f>
        <v xml:space="preserve">TORNEIRA DE MESA PARA LAVATÓRIO DIÂMETRO DE 1/2" </v>
      </c>
      <c r="E287" s="153" t="str">
        <f>ORÇAMENTO!F152</f>
        <v>und.</v>
      </c>
      <c r="F287" s="578">
        <f>ORÇAMENTO!E152</f>
        <v>13</v>
      </c>
      <c r="G287" s="622"/>
      <c r="H287" s="622"/>
      <c r="I287" s="622"/>
      <c r="J287" s="623"/>
    </row>
    <row r="288" spans="1:10" x14ac:dyDescent="0.3">
      <c r="A288" s="119" t="str">
        <f>ORÇAMENTO!A153</f>
        <v>7.14</v>
      </c>
      <c r="B288" s="12" t="str">
        <f>ORÇAMENTO!B153</f>
        <v>GOINFRA</v>
      </c>
      <c r="C288" s="13">
        <f>ORÇAMENTO!C153</f>
        <v>80590</v>
      </c>
      <c r="D288" s="52" t="str">
        <f>ORÇAMENTO!D153</f>
        <v xml:space="preserve"> CUBA DE LOUCA DE EMBUTIR OVAL MÉDIA </v>
      </c>
      <c r="E288" s="153" t="str">
        <f>ORÇAMENTO!F153</f>
        <v>und.</v>
      </c>
      <c r="F288" s="578">
        <f>ORÇAMENTO!E153</f>
        <v>7</v>
      </c>
      <c r="G288" s="622"/>
      <c r="H288" s="622"/>
      <c r="I288" s="622"/>
      <c r="J288" s="623"/>
    </row>
    <row r="289" spans="1:10" x14ac:dyDescent="0.3">
      <c r="A289" s="119" t="str">
        <f>ORÇAMENTO!A154</f>
        <v>7.15</v>
      </c>
      <c r="B289" s="12" t="str">
        <f>ORÇAMENTO!B154</f>
        <v>GOINFRA</v>
      </c>
      <c r="C289" s="13">
        <f>ORÇAMENTO!C154</f>
        <v>80680</v>
      </c>
      <c r="D289" s="52" t="str">
        <f>ORÇAMENTO!D154</f>
        <v>VALVULA P/PIA TIPO AMERICANA DIAM.3.1/2" (METAL)</v>
      </c>
      <c r="E289" s="153" t="str">
        <f>ORÇAMENTO!F154</f>
        <v>und.</v>
      </c>
      <c r="F289" s="578">
        <f>ORÇAMENTO!E154</f>
        <v>11</v>
      </c>
      <c r="G289" s="622"/>
      <c r="H289" s="622"/>
      <c r="I289" s="622"/>
      <c r="J289" s="623"/>
    </row>
    <row r="290" spans="1:10" x14ac:dyDescent="0.3">
      <c r="A290" s="119" t="str">
        <f>ORÇAMENTO!A155</f>
        <v>7.16</v>
      </c>
      <c r="B290" s="12" t="str">
        <f>ORÇAMENTO!B155</f>
        <v>GOINFRA</v>
      </c>
      <c r="C290" s="13">
        <f>ORÇAMENTO!C155</f>
        <v>80600</v>
      </c>
      <c r="D290" s="52" t="str">
        <f>ORÇAMENTO!D155</f>
        <v>M I C T O R I O/A C E S S O R I O S</v>
      </c>
      <c r="E290" s="153"/>
      <c r="F290" s="578"/>
      <c r="G290" s="622"/>
      <c r="H290" s="622"/>
      <c r="I290" s="622"/>
      <c r="J290" s="623"/>
    </row>
    <row r="291" spans="1:10" x14ac:dyDescent="0.3">
      <c r="A291" s="119" t="str">
        <f>ORÇAMENTO!A156</f>
        <v>7.17</v>
      </c>
      <c r="B291" s="12" t="str">
        <f>ORÇAMENTO!B156</f>
        <v>GOINFRA</v>
      </c>
      <c r="C291" s="13">
        <f>ORÇAMENTO!C156</f>
        <v>80601</v>
      </c>
      <c r="D291" s="52" t="str">
        <f>ORÇAMENTO!D156</f>
        <v xml:space="preserve">MICTORIO DE LOUCA C/SIFAO INTEGRADO </v>
      </c>
      <c r="E291" s="153" t="str">
        <f>ORÇAMENTO!F156</f>
        <v>und.</v>
      </c>
      <c r="F291" s="578">
        <f>ORÇAMENTO!E156</f>
        <v>5</v>
      </c>
      <c r="G291" s="622"/>
      <c r="H291" s="622"/>
      <c r="I291" s="622"/>
      <c r="J291" s="623"/>
    </row>
    <row r="292" spans="1:10" x14ac:dyDescent="0.3">
      <c r="A292" s="119" t="str">
        <f>ORÇAMENTO!A157</f>
        <v>7.18</v>
      </c>
      <c r="B292" s="12" t="str">
        <f>ORÇAMENTO!B157</f>
        <v>GOINFRA</v>
      </c>
      <c r="C292" s="13">
        <f>ORÇAMENTO!C157</f>
        <v>80610</v>
      </c>
      <c r="D292" s="52" t="str">
        <f>ORÇAMENTO!D157</f>
        <v xml:space="preserve"> KIT FERR.P/MICT.LOUCA (ESPUDE,CONEXÃO ENTR.PARAFUSOS) </v>
      </c>
      <c r="E292" s="153" t="str">
        <f>ORÇAMENTO!F157</f>
        <v>und.</v>
      </c>
      <c r="F292" s="578">
        <f>ORÇAMENTO!E157</f>
        <v>5</v>
      </c>
      <c r="G292" s="622"/>
      <c r="H292" s="622"/>
      <c r="I292" s="622"/>
      <c r="J292" s="623"/>
    </row>
    <row r="293" spans="1:10" x14ac:dyDescent="0.3">
      <c r="A293" s="119" t="str">
        <f>ORÇAMENTO!A158</f>
        <v>7.19</v>
      </c>
      <c r="B293" s="12" t="str">
        <f>ORÇAMENTO!B158</f>
        <v>GOINFRA</v>
      </c>
      <c r="C293" s="13">
        <f>ORÇAMENTO!C158</f>
        <v>80621</v>
      </c>
      <c r="D293" s="52" t="str">
        <f>ORÇAMENTO!D158</f>
        <v>VÁLVULA DE DESCARGA PARA MICTÓRIO DIÂMETRO 1/2" FECHAMENTO AUTOMÁTICO TEMPORIZADO</v>
      </c>
      <c r="E293" s="153" t="str">
        <f>ORÇAMENTO!F158</f>
        <v>und.</v>
      </c>
      <c r="F293" s="578">
        <f>ORÇAMENTO!E158</f>
        <v>5</v>
      </c>
      <c r="G293" s="622"/>
      <c r="H293" s="622"/>
      <c r="I293" s="622"/>
      <c r="J293" s="623"/>
    </row>
    <row r="294" spans="1:10" x14ac:dyDescent="0.3">
      <c r="A294" s="119" t="str">
        <f>ORÇAMENTO!A159</f>
        <v>7.20</v>
      </c>
      <c r="B294" s="12" t="str">
        <f>ORÇAMENTO!B159</f>
        <v>GOINFRA</v>
      </c>
      <c r="C294" s="13">
        <f>ORÇAMENTO!C159</f>
        <v>80650</v>
      </c>
      <c r="D294" s="52" t="str">
        <f>ORÇAMENTO!D159</f>
        <v>P I A / A C E S S O R I O S</v>
      </c>
      <c r="E294" s="153"/>
      <c r="F294" s="578"/>
      <c r="G294" s="622"/>
      <c r="H294" s="622"/>
      <c r="I294" s="622"/>
      <c r="J294" s="623"/>
    </row>
    <row r="295" spans="1:10" x14ac:dyDescent="0.3">
      <c r="A295" s="119" t="str">
        <f>ORÇAMENTO!A160</f>
        <v>7.21</v>
      </c>
      <c r="B295" s="12" t="str">
        <f>ORÇAMENTO!B160</f>
        <v>GOINFRA</v>
      </c>
      <c r="C295" s="13">
        <f>ORÇAMENTO!C160</f>
        <v>80651</v>
      </c>
      <c r="D295" s="52" t="str">
        <f>ORÇAMENTO!D160</f>
        <v>PIA MÁRMORE/GRANITO SINTÉTICO 1,20X0,54 M</v>
      </c>
      <c r="E295" s="153" t="str">
        <f>ORÇAMENTO!F160</f>
        <v>und.</v>
      </c>
      <c r="F295" s="578">
        <f>ORÇAMENTO!E160</f>
        <v>32</v>
      </c>
      <c r="G295" s="622"/>
      <c r="H295" s="622"/>
      <c r="I295" s="622"/>
      <c r="J295" s="623"/>
    </row>
    <row r="296" spans="1:10" x14ac:dyDescent="0.3">
      <c r="A296" s="119" t="str">
        <f>ORÇAMENTO!A161</f>
        <v>7.22</v>
      </c>
      <c r="B296" s="12" t="str">
        <f>ORÇAMENTO!B161</f>
        <v>GOINFRA</v>
      </c>
      <c r="C296" s="13">
        <f>ORÇAMENTO!C161</f>
        <v>80656</v>
      </c>
      <c r="D296" s="52" t="str">
        <f>ORÇAMENTO!D161</f>
        <v xml:space="preserve">TORNEIRA DE MESA PARA PIA DIÂMETRO DE 1/2" - BICA MÓVEL </v>
      </c>
      <c r="E296" s="153" t="str">
        <f>ORÇAMENTO!F161</f>
        <v>und.</v>
      </c>
      <c r="F296" s="578">
        <f>ORÇAMENTO!E161</f>
        <v>1</v>
      </c>
      <c r="G296" s="622"/>
      <c r="H296" s="622"/>
      <c r="I296" s="622"/>
      <c r="J296" s="623"/>
    </row>
    <row r="297" spans="1:10" x14ac:dyDescent="0.3">
      <c r="A297" s="119" t="str">
        <f>ORÇAMENTO!A162</f>
        <v>7.23</v>
      </c>
      <c r="B297" s="12" t="str">
        <f>ORÇAMENTO!B162</f>
        <v>GOINFRA</v>
      </c>
      <c r="C297" s="13">
        <f>ORÇAMENTO!C162</f>
        <v>80660</v>
      </c>
      <c r="D297" s="52" t="str">
        <f>ORÇAMENTO!D162</f>
        <v>TORNEIRA DE PAREDE PARA PIA OU BEBEDOURO DIÂMETRO DE 1/2" E 3/4"</v>
      </c>
      <c r="E297" s="153" t="str">
        <f>ORÇAMENTO!F162</f>
        <v>und.</v>
      </c>
      <c r="F297" s="578">
        <f>ORÇAMENTO!E162</f>
        <v>37</v>
      </c>
      <c r="G297" s="622"/>
      <c r="H297" s="622"/>
      <c r="I297" s="622"/>
      <c r="J297" s="623"/>
    </row>
    <row r="298" spans="1:10" x14ac:dyDescent="0.3">
      <c r="A298" s="119" t="str">
        <f>ORÇAMENTO!A163</f>
        <v>7.24</v>
      </c>
      <c r="B298" s="12" t="str">
        <f>ORÇAMENTO!B163</f>
        <v>GOINFRA</v>
      </c>
      <c r="C298" s="13">
        <f>ORÇAMENTO!C163</f>
        <v>80672</v>
      </c>
      <c r="D298" s="52" t="str">
        <f>ORÇAMENTO!D163</f>
        <v xml:space="preserve">SIFAO P/PIA 1.1/2"X2" PVC CROMADO </v>
      </c>
      <c r="E298" s="153" t="str">
        <f>ORÇAMENTO!F163</f>
        <v>und.</v>
      </c>
      <c r="F298" s="578">
        <f>ORÇAMENTO!E163</f>
        <v>37</v>
      </c>
      <c r="G298" s="622"/>
      <c r="H298" s="622"/>
      <c r="I298" s="622"/>
      <c r="J298" s="623"/>
    </row>
    <row r="299" spans="1:10" x14ac:dyDescent="0.3">
      <c r="A299" s="119" t="str">
        <f>ORÇAMENTO!A164</f>
        <v>7.25</v>
      </c>
      <c r="B299" s="12" t="str">
        <f>ORÇAMENTO!B164</f>
        <v>GOINFRA</v>
      </c>
      <c r="C299" s="13">
        <f>ORÇAMENTO!C164</f>
        <v>80680</v>
      </c>
      <c r="D299" s="52" t="str">
        <f>ORÇAMENTO!D164</f>
        <v>VALVULA P/PIA TIPO AMERICANA DIAM.3.1/2" (METAL)</v>
      </c>
      <c r="E299" s="153" t="str">
        <f>ORÇAMENTO!F164</f>
        <v>und.</v>
      </c>
      <c r="F299" s="578">
        <f>ORÇAMENTO!E164</f>
        <v>37</v>
      </c>
      <c r="G299" s="622"/>
      <c r="H299" s="622"/>
      <c r="I299" s="622"/>
      <c r="J299" s="623"/>
    </row>
    <row r="300" spans="1:10" x14ac:dyDescent="0.3">
      <c r="A300" s="119" t="str">
        <f>ORÇAMENTO!A165</f>
        <v>7.26</v>
      </c>
      <c r="B300" s="12" t="str">
        <f>ORÇAMENTO!B165</f>
        <v>GOINFRA</v>
      </c>
      <c r="C300" s="13">
        <f>ORÇAMENTO!C165</f>
        <v>80688</v>
      </c>
      <c r="D300" s="52" t="str">
        <f>ORÇAMENTO!D165</f>
        <v xml:space="preserve">CUBA INOX 46X30X15CM E=0,6MM-AÇO 304 (CUBA Nº 1) </v>
      </c>
      <c r="E300" s="153" t="str">
        <f>ORÇAMENTO!F165</f>
        <v>und.</v>
      </c>
      <c r="F300" s="578">
        <f>ORÇAMENTO!E165</f>
        <v>5</v>
      </c>
      <c r="G300" s="622"/>
      <c r="H300" s="622"/>
      <c r="I300" s="622"/>
      <c r="J300" s="623"/>
    </row>
    <row r="301" spans="1:10" x14ac:dyDescent="0.3">
      <c r="A301" s="119" t="str">
        <f>ORÇAMENTO!A166</f>
        <v>7.27</v>
      </c>
      <c r="B301" s="12" t="str">
        <f>ORÇAMENTO!B166</f>
        <v>GOINFRA</v>
      </c>
      <c r="C301" s="13">
        <f>ORÇAMENTO!C166</f>
        <v>80800</v>
      </c>
      <c r="D301" s="52" t="str">
        <f>ORÇAMENTO!D166</f>
        <v xml:space="preserve"> T A N Q U E S / T O R N E I R A S J A R D I M S</v>
      </c>
      <c r="E301" s="153"/>
      <c r="F301" s="578"/>
      <c r="G301" s="622"/>
      <c r="H301" s="622"/>
      <c r="I301" s="622"/>
      <c r="J301" s="623"/>
    </row>
    <row r="302" spans="1:10" x14ac:dyDescent="0.3">
      <c r="A302" s="119" t="str">
        <f>ORÇAMENTO!A167</f>
        <v>7.28</v>
      </c>
      <c r="B302" s="12" t="str">
        <f>ORÇAMENTO!B167</f>
        <v>GOINFRA</v>
      </c>
      <c r="C302" s="13">
        <f>ORÇAMENTO!C167</f>
        <v>80802</v>
      </c>
      <c r="D302" s="52" t="str">
        <f>ORÇAMENTO!D167</f>
        <v>TANQUE MARMORE/GRANITO SINTÉTICO C/DUAS CUBAS E 1 BATEDOR</v>
      </c>
      <c r="E302" s="153" t="str">
        <f>ORÇAMENTO!F167</f>
        <v>und.</v>
      </c>
      <c r="F302" s="578">
        <f>ORÇAMENTO!E167</f>
        <v>4</v>
      </c>
      <c r="G302" s="622"/>
      <c r="H302" s="622"/>
      <c r="I302" s="622"/>
      <c r="J302" s="623"/>
    </row>
    <row r="303" spans="1:10" x14ac:dyDescent="0.3">
      <c r="A303" s="119" t="str">
        <f>ORÇAMENTO!A168</f>
        <v>7.29</v>
      </c>
      <c r="B303" s="12" t="str">
        <f>ORÇAMENTO!B168</f>
        <v>GOINFRA</v>
      </c>
      <c r="C303" s="13">
        <f>ORÇAMENTO!C168</f>
        <v>80810</v>
      </c>
      <c r="D303" s="52" t="str">
        <f>ORÇAMENTO!D168</f>
        <v>TORNEIRA DE PAREDE PARA TANQUE COM AREJADOR DIÂMETRO DE 1/2" E 3/4"</v>
      </c>
      <c r="E303" s="153" t="str">
        <f>ORÇAMENTO!F168</f>
        <v>und.</v>
      </c>
      <c r="F303" s="578">
        <f>ORÇAMENTO!E168</f>
        <v>8</v>
      </c>
      <c r="G303" s="622"/>
      <c r="H303" s="622"/>
      <c r="I303" s="622"/>
      <c r="J303" s="623"/>
    </row>
    <row r="304" spans="1:10" x14ac:dyDescent="0.3">
      <c r="A304" s="119" t="str">
        <f>ORÇAMENTO!A169</f>
        <v>7.30</v>
      </c>
      <c r="B304" s="12" t="str">
        <f>ORÇAMENTO!B169</f>
        <v>GOINFRA</v>
      </c>
      <c r="C304" s="13">
        <f>ORÇAMENTO!C169</f>
        <v>80811</v>
      </c>
      <c r="D304" s="52" t="str">
        <f>ORÇAMENTO!D169</f>
        <v xml:space="preserve">TORNEIRA DE JARDIM COM BICO PARA MANGUEIRA DIÂMETRO DE 1/2" E 3/4" </v>
      </c>
      <c r="E304" s="153" t="str">
        <f>ORÇAMENTO!F169</f>
        <v>und.</v>
      </c>
      <c r="F304" s="578">
        <f>ORÇAMENTO!E169</f>
        <v>9</v>
      </c>
      <c r="G304" s="622"/>
      <c r="H304" s="622"/>
      <c r="I304" s="622"/>
      <c r="J304" s="623"/>
    </row>
    <row r="305" spans="1:10" x14ac:dyDescent="0.3">
      <c r="A305" s="119" t="str">
        <f>ORÇAMENTO!A170</f>
        <v>7.31</v>
      </c>
      <c r="B305" s="12" t="str">
        <f>ORÇAMENTO!B170</f>
        <v>GOINFRA</v>
      </c>
      <c r="C305" s="13">
        <f>ORÇAMENTO!C170</f>
        <v>80819</v>
      </c>
      <c r="D305" s="52" t="str">
        <f>ORÇAMENTO!D170</f>
        <v>SIFÃO METÁLICO PARA TANQUE DE 1 1/4" X 1 1/2"</v>
      </c>
      <c r="E305" s="153" t="str">
        <f>ORÇAMENTO!F170</f>
        <v>und.</v>
      </c>
      <c r="F305" s="578">
        <f>ORÇAMENTO!E170</f>
        <v>7</v>
      </c>
      <c r="G305" s="622"/>
      <c r="H305" s="622"/>
      <c r="I305" s="622"/>
      <c r="J305" s="623"/>
    </row>
    <row r="306" spans="1:10" x14ac:dyDescent="0.3">
      <c r="A306" s="119" t="str">
        <f>ORÇAMENTO!A171</f>
        <v>7.32</v>
      </c>
      <c r="B306" s="12" t="str">
        <f>ORÇAMENTO!B171</f>
        <v>GOINFRA</v>
      </c>
      <c r="C306" s="13">
        <f>ORÇAMENTO!C171</f>
        <v>80830</v>
      </c>
      <c r="D306" s="52" t="str">
        <f>ORÇAMENTO!D171</f>
        <v xml:space="preserve">VALVULA P/TANQUE METALICA DIAM.1" S/LADRAO </v>
      </c>
      <c r="E306" s="153" t="str">
        <f>ORÇAMENTO!F171</f>
        <v>und.</v>
      </c>
      <c r="F306" s="578">
        <f>ORÇAMENTO!E171</f>
        <v>9</v>
      </c>
      <c r="G306" s="622"/>
      <c r="H306" s="622"/>
      <c r="I306" s="622"/>
      <c r="J306" s="623"/>
    </row>
    <row r="307" spans="1:10" x14ac:dyDescent="0.3">
      <c r="A307" s="119" t="str">
        <f>ORÇAMENTO!A172</f>
        <v>7.33</v>
      </c>
      <c r="B307" s="12" t="str">
        <f>ORÇAMENTO!B172</f>
        <v>GOINFRA</v>
      </c>
      <c r="C307" s="13">
        <f>ORÇAMENTO!C172</f>
        <v>80900</v>
      </c>
      <c r="D307" s="52" t="str">
        <f>ORÇAMENTO!D172</f>
        <v>R E G I S T R O S</v>
      </c>
      <c r="E307" s="153"/>
      <c r="F307" s="578"/>
      <c r="G307" s="622"/>
      <c r="H307" s="622"/>
      <c r="I307" s="622"/>
      <c r="J307" s="623"/>
    </row>
    <row r="308" spans="1:10" x14ac:dyDescent="0.3">
      <c r="A308" s="119" t="str">
        <f>ORÇAMENTO!A173</f>
        <v>7.34</v>
      </c>
      <c r="B308" s="12" t="str">
        <f>ORÇAMENTO!B173</f>
        <v>GOINFRA</v>
      </c>
      <c r="C308" s="13">
        <f>ORÇAMENTO!C173</f>
        <v>80926</v>
      </c>
      <c r="D308" s="52" t="str">
        <f>ORÇAMENTO!D173</f>
        <v xml:space="preserve">REGISTRO DE GAVETA C/CANOPLA DIAMETRO 3/4" </v>
      </c>
      <c r="E308" s="153" t="str">
        <f>ORÇAMENTO!F173</f>
        <v>und.</v>
      </c>
      <c r="F308" s="578">
        <f>ORÇAMENTO!E173</f>
        <v>42</v>
      </c>
      <c r="G308" s="622"/>
      <c r="H308" s="622"/>
      <c r="I308" s="622"/>
      <c r="J308" s="623"/>
    </row>
    <row r="309" spans="1:10" x14ac:dyDescent="0.3">
      <c r="A309" s="119" t="str">
        <f>ORÇAMENTO!A174</f>
        <v>7.35</v>
      </c>
      <c r="B309" s="12" t="str">
        <f>ORÇAMENTO!B174</f>
        <v>GOINFRA</v>
      </c>
      <c r="C309" s="13">
        <f>ORÇAMENTO!C174</f>
        <v>80929</v>
      </c>
      <c r="D309" s="52" t="str">
        <f>ORÇAMENTO!D174</f>
        <v>REGISTRO DE GAVETA C/CANOPLA DIAMETRO 1.1/2"</v>
      </c>
      <c r="E309" s="153" t="str">
        <f>ORÇAMENTO!F174</f>
        <v>und.</v>
      </c>
      <c r="F309" s="578">
        <f>ORÇAMENTO!E174</f>
        <v>7</v>
      </c>
      <c r="G309" s="622"/>
      <c r="H309" s="622"/>
      <c r="I309" s="622"/>
      <c r="J309" s="623"/>
    </row>
    <row r="310" spans="1:10" x14ac:dyDescent="0.3">
      <c r="A310" s="119" t="str">
        <f>ORÇAMENTO!A175</f>
        <v>7.36</v>
      </c>
      <c r="B310" s="12" t="str">
        <f>ORÇAMENTO!B175</f>
        <v>GOINFRA</v>
      </c>
      <c r="C310" s="13">
        <f>ORÇAMENTO!C175</f>
        <v>80946</v>
      </c>
      <c r="D310" s="52" t="str">
        <f>ORÇAMENTO!D175</f>
        <v xml:space="preserve">REGISTRO DE PRESSAO C/CANOPLA CROMADA DIAM.3/4" </v>
      </c>
      <c r="E310" s="153" t="str">
        <f>ORÇAMENTO!F175</f>
        <v>und.</v>
      </c>
      <c r="F310" s="578">
        <f>ORÇAMENTO!E175</f>
        <v>7</v>
      </c>
      <c r="G310" s="622"/>
      <c r="H310" s="622"/>
      <c r="I310" s="622"/>
      <c r="J310" s="623"/>
    </row>
    <row r="311" spans="1:10" x14ac:dyDescent="0.3">
      <c r="A311" s="119" t="str">
        <f>ORÇAMENTO!A176</f>
        <v>7.37</v>
      </c>
      <c r="B311" s="12" t="str">
        <f>ORÇAMENTO!B176</f>
        <v>GOINFRA</v>
      </c>
      <c r="C311" s="13">
        <f>ORÇAMENTO!C176</f>
        <v>80977</v>
      </c>
      <c r="D311" s="52" t="str">
        <f>ORÇAMENTO!D176</f>
        <v>REGISTRO DE ESFERA DIAMETRO 1"</v>
      </c>
      <c r="E311" s="153" t="str">
        <f>ORÇAMENTO!F176</f>
        <v>und.</v>
      </c>
      <c r="F311" s="578">
        <f>ORÇAMENTO!E176</f>
        <v>6</v>
      </c>
      <c r="G311" s="622"/>
      <c r="H311" s="622"/>
      <c r="I311" s="622"/>
      <c r="J311" s="623"/>
    </row>
    <row r="312" spans="1:10" x14ac:dyDescent="0.3">
      <c r="A312" s="119" t="str">
        <f>ORÇAMENTO!A177</f>
        <v>7.38</v>
      </c>
      <c r="B312" s="12" t="str">
        <f>ORÇAMENTO!B177</f>
        <v>GOINFRA</v>
      </c>
      <c r="C312" s="13">
        <f>ORÇAMENTO!C177</f>
        <v>80978</v>
      </c>
      <c r="D312" s="52" t="str">
        <f>ORÇAMENTO!D177</f>
        <v>REGISTRO DE ESFERA DIAMETRO 1.1/4"</v>
      </c>
      <c r="E312" s="153" t="str">
        <f>ORÇAMENTO!F177</f>
        <v>und.</v>
      </c>
      <c r="F312" s="578">
        <f>ORÇAMENTO!E177</f>
        <v>5</v>
      </c>
      <c r="G312" s="622"/>
      <c r="H312" s="622"/>
      <c r="I312" s="622"/>
      <c r="J312" s="623"/>
    </row>
    <row r="313" spans="1:10" x14ac:dyDescent="0.3">
      <c r="A313" s="119" t="str">
        <f>ORÇAMENTO!A178</f>
        <v>7.39</v>
      </c>
      <c r="B313" s="12" t="str">
        <f>ORÇAMENTO!B178</f>
        <v>GOINFRA</v>
      </c>
      <c r="C313" s="13">
        <f>ORÇAMENTO!C178</f>
        <v>80976</v>
      </c>
      <c r="D313" s="52" t="str">
        <f>ORÇAMENTO!D178</f>
        <v>REGISTRO DE ESFERA DIAMETRO 3/4"</v>
      </c>
      <c r="E313" s="153" t="str">
        <f>ORÇAMENTO!F178</f>
        <v>und.</v>
      </c>
      <c r="F313" s="578">
        <f>ORÇAMENTO!E178</f>
        <v>1</v>
      </c>
      <c r="G313" s="622"/>
      <c r="H313" s="622"/>
      <c r="I313" s="622"/>
      <c r="J313" s="623"/>
    </row>
    <row r="314" spans="1:10" x14ac:dyDescent="0.3">
      <c r="A314" s="119" t="str">
        <f>ORÇAMENTO!A179</f>
        <v>7.40</v>
      </c>
      <c r="B314" s="12" t="str">
        <f>ORÇAMENTO!B179</f>
        <v>GOINFRA</v>
      </c>
      <c r="C314" s="13">
        <f>ORÇAMENTO!C179</f>
        <v>80980</v>
      </c>
      <c r="D314" s="52" t="str">
        <f>ORÇAMENTO!D179</f>
        <v>REGISTRO DE ESFERA DIAMETRO 2"</v>
      </c>
      <c r="E314" s="153" t="str">
        <f>ORÇAMENTO!F179</f>
        <v>und.</v>
      </c>
      <c r="F314" s="578">
        <f>ORÇAMENTO!E179</f>
        <v>5</v>
      </c>
      <c r="G314" s="622"/>
      <c r="H314" s="622"/>
      <c r="I314" s="622"/>
      <c r="J314" s="623"/>
    </row>
    <row r="315" spans="1:10" x14ac:dyDescent="0.3">
      <c r="A315" s="119" t="str">
        <f>ORÇAMENTO!A180</f>
        <v>7.41</v>
      </c>
      <c r="B315" s="12" t="str">
        <f>ORÇAMENTO!B180</f>
        <v>GOINFRA</v>
      </c>
      <c r="C315" s="13">
        <f>ORÇAMENTO!C180</f>
        <v>81000</v>
      </c>
      <c r="D315" s="52" t="str">
        <f>ORÇAMENTO!D180</f>
        <v>AGUA FRIA</v>
      </c>
      <c r="E315" s="153"/>
      <c r="F315" s="578"/>
      <c r="G315" s="622"/>
      <c r="H315" s="622"/>
      <c r="I315" s="622"/>
      <c r="J315" s="623"/>
    </row>
    <row r="316" spans="1:10" x14ac:dyDescent="0.3">
      <c r="A316" s="119" t="str">
        <f>ORÇAMENTO!A181</f>
        <v>7.42</v>
      </c>
      <c r="B316" s="12" t="str">
        <f>ORÇAMENTO!B181</f>
        <v>GOINFRA</v>
      </c>
      <c r="C316" s="13">
        <f>ORÇAMENTO!C181</f>
        <v>81001</v>
      </c>
      <c r="D316" s="52" t="str">
        <f>ORÇAMENTO!D181</f>
        <v>T U B O S DE P V C S O L D A V E L</v>
      </c>
      <c r="E316" s="153"/>
      <c r="F316" s="578"/>
      <c r="G316" s="622"/>
      <c r="H316" s="622"/>
      <c r="I316" s="622"/>
      <c r="J316" s="623"/>
    </row>
    <row r="317" spans="1:10" x14ac:dyDescent="0.3">
      <c r="A317" s="119" t="str">
        <f>ORÇAMENTO!A182</f>
        <v>7.43</v>
      </c>
      <c r="B317" s="12" t="str">
        <f>ORÇAMENTO!B182</f>
        <v>GOINFRA</v>
      </c>
      <c r="C317" s="13">
        <f>ORÇAMENTO!C182</f>
        <v>81002</v>
      </c>
      <c r="D317" s="52" t="str">
        <f>ORÇAMENTO!D182</f>
        <v>TUBO SOLDAVEL PVC MARROM DIAMETRO 20 mm</v>
      </c>
      <c r="E317" s="153" t="str">
        <f>ORÇAMENTO!F182</f>
        <v>m</v>
      </c>
      <c r="F317" s="578">
        <f>ORÇAMENTO!E182</f>
        <v>202.7</v>
      </c>
      <c r="G317" s="622"/>
      <c r="H317" s="622"/>
      <c r="I317" s="622"/>
      <c r="J317" s="623"/>
    </row>
    <row r="318" spans="1:10" x14ac:dyDescent="0.3">
      <c r="A318" s="119" t="str">
        <f>ORÇAMENTO!A183</f>
        <v>7.44</v>
      </c>
      <c r="B318" s="12" t="str">
        <f>ORÇAMENTO!B183</f>
        <v>GOINFRA</v>
      </c>
      <c r="C318" s="13">
        <f>ORÇAMENTO!C183</f>
        <v>81003</v>
      </c>
      <c r="D318" s="52" t="str">
        <f>ORÇAMENTO!D183</f>
        <v xml:space="preserve">TUBO SOLDAVEL PVC MARROM DIAMETRO 25 mm </v>
      </c>
      <c r="E318" s="153" t="str">
        <f>ORÇAMENTO!F183</f>
        <v>m</v>
      </c>
      <c r="F318" s="578">
        <f>ORÇAMENTO!E183</f>
        <v>472.20000000000005</v>
      </c>
      <c r="G318" s="622"/>
      <c r="H318" s="622"/>
      <c r="I318" s="622"/>
      <c r="J318" s="623"/>
    </row>
    <row r="319" spans="1:10" x14ac:dyDescent="0.3">
      <c r="A319" s="119" t="str">
        <f>ORÇAMENTO!A184</f>
        <v>7.45</v>
      </c>
      <c r="B319" s="12" t="str">
        <f>ORÇAMENTO!B184</f>
        <v>GOINFRA</v>
      </c>
      <c r="C319" s="13">
        <f>ORÇAMENTO!C184</f>
        <v>81004</v>
      </c>
      <c r="D319" s="52" t="str">
        <f>ORÇAMENTO!D184</f>
        <v xml:space="preserve">TUBO SOLDAVEL PVC MARROM DIAMETRO 32 mm </v>
      </c>
      <c r="E319" s="153" t="str">
        <f>ORÇAMENTO!F184</f>
        <v>m</v>
      </c>
      <c r="F319" s="578">
        <f>ORÇAMENTO!E184</f>
        <v>21.6</v>
      </c>
      <c r="G319" s="622"/>
      <c r="H319" s="622"/>
      <c r="I319" s="622"/>
      <c r="J319" s="623"/>
    </row>
    <row r="320" spans="1:10" x14ac:dyDescent="0.3">
      <c r="A320" s="119" t="str">
        <f>ORÇAMENTO!A185</f>
        <v>7.46</v>
      </c>
      <c r="B320" s="12" t="str">
        <f>ORÇAMENTO!B185</f>
        <v>GOINFRA</v>
      </c>
      <c r="C320" s="13">
        <f>ORÇAMENTO!C185</f>
        <v>81006</v>
      </c>
      <c r="D320" s="52" t="str">
        <f>ORÇAMENTO!D185</f>
        <v xml:space="preserve">TUBO SOLDAVEL PVC MARROM DIAM. 50 mm </v>
      </c>
      <c r="E320" s="153" t="str">
        <f>ORÇAMENTO!F185</f>
        <v xml:space="preserve">m </v>
      </c>
      <c r="F320" s="578">
        <f>ORÇAMENTO!E185</f>
        <v>181.10000000000002</v>
      </c>
      <c r="G320" s="622"/>
      <c r="H320" s="622"/>
      <c r="I320" s="622"/>
      <c r="J320" s="623"/>
    </row>
    <row r="321" spans="1:10" x14ac:dyDescent="0.3">
      <c r="A321" s="119" t="str">
        <f>ORÇAMENTO!A186</f>
        <v>7.47</v>
      </c>
      <c r="B321" s="12" t="str">
        <f>ORÇAMENTO!B186</f>
        <v>GOINFRA</v>
      </c>
      <c r="C321" s="13">
        <f>ORÇAMENTO!C186</f>
        <v>81007</v>
      </c>
      <c r="D321" s="52" t="str">
        <f>ORÇAMENTO!D186</f>
        <v xml:space="preserve">TUBO SOLDAVEL PVC MARROM DIAMETRO 60 mm (2") </v>
      </c>
      <c r="E321" s="153" t="str">
        <f>ORÇAMENTO!F186</f>
        <v>m</v>
      </c>
      <c r="F321" s="578">
        <f>ORÇAMENTO!E186</f>
        <v>7.3</v>
      </c>
      <c r="G321" s="622"/>
      <c r="H321" s="622"/>
      <c r="I321" s="622"/>
      <c r="J321" s="623"/>
    </row>
    <row r="322" spans="1:10" x14ac:dyDescent="0.3">
      <c r="A322" s="119" t="str">
        <f>ORÇAMENTO!A187</f>
        <v>7.48</v>
      </c>
      <c r="B322" s="12" t="str">
        <f>ORÇAMENTO!B187</f>
        <v>GOINFRA</v>
      </c>
      <c r="C322" s="13">
        <f>ORÇAMENTO!C187</f>
        <v>81055</v>
      </c>
      <c r="D322" s="52" t="str">
        <f>ORÇAMENTO!D187</f>
        <v>ADAPTAD.SOLD. C/FL.LIVRES P/CX.DAGUA 25X3/4"</v>
      </c>
      <c r="E322" s="153" t="str">
        <f>ORÇAMENTO!F187</f>
        <v>und.</v>
      </c>
      <c r="F322" s="578">
        <f>ORÇAMENTO!E187</f>
        <v>1</v>
      </c>
      <c r="G322" s="622"/>
      <c r="H322" s="622"/>
      <c r="I322" s="622"/>
      <c r="J322" s="623"/>
    </row>
    <row r="323" spans="1:10" x14ac:dyDescent="0.3">
      <c r="A323" s="119" t="str">
        <f>ORÇAMENTO!A188</f>
        <v>7.49</v>
      </c>
      <c r="B323" s="12" t="str">
        <f>ORÇAMENTO!B188</f>
        <v>GOINFRA</v>
      </c>
      <c r="C323" s="13">
        <f>ORÇAMENTO!C188</f>
        <v>81066</v>
      </c>
      <c r="D323" s="52" t="str">
        <f>ORÇAMENTO!D188</f>
        <v xml:space="preserve">ADAPTAD.SOLD.CURTO C/BOLSA E ROSCA P/REG.25X3/4" </v>
      </c>
      <c r="E323" s="153" t="str">
        <f>ORÇAMENTO!F188</f>
        <v>und.</v>
      </c>
      <c r="F323" s="578">
        <f>ORÇAMENTO!E188</f>
        <v>92</v>
      </c>
      <c r="G323" s="622"/>
      <c r="H323" s="622"/>
      <c r="I323" s="622"/>
      <c r="J323" s="623"/>
    </row>
    <row r="324" spans="1:10" x14ac:dyDescent="0.3">
      <c r="A324" s="119" t="str">
        <f>ORÇAMENTO!A189</f>
        <v>7.50</v>
      </c>
      <c r="B324" s="12" t="str">
        <f>ORÇAMENTO!B189</f>
        <v>GOINFRA</v>
      </c>
      <c r="C324" s="13">
        <f>ORÇAMENTO!C189</f>
        <v>81069</v>
      </c>
      <c r="D324" s="52" t="str">
        <f>ORÇAMENTO!D189</f>
        <v xml:space="preserve">ADAPTAD.SOLD.CURTO C/BOLSA/ROSCA P/REG.50X11/2" </v>
      </c>
      <c r="E324" s="153" t="str">
        <f>ORÇAMENTO!F189</f>
        <v>und.</v>
      </c>
      <c r="F324" s="578">
        <f>ORÇAMENTO!E189</f>
        <v>25</v>
      </c>
      <c r="G324" s="622"/>
      <c r="H324" s="622"/>
      <c r="I324" s="622"/>
      <c r="J324" s="623"/>
    </row>
    <row r="325" spans="1:10" x14ac:dyDescent="0.3">
      <c r="A325" s="119" t="str">
        <f>ORÇAMENTO!A190</f>
        <v>7.51</v>
      </c>
      <c r="B325" s="12" t="str">
        <f>ORÇAMENTO!B190</f>
        <v>GOINFRA</v>
      </c>
      <c r="C325" s="13">
        <f>ORÇAMENTO!C190</f>
        <v>81100</v>
      </c>
      <c r="D325" s="52" t="str">
        <f>ORÇAMENTO!D190</f>
        <v xml:space="preserve"> L U V A S DE P V C</v>
      </c>
      <c r="E325" s="153"/>
      <c r="F325" s="578"/>
      <c r="G325" s="622"/>
      <c r="H325" s="622"/>
      <c r="I325" s="622"/>
      <c r="J325" s="623"/>
    </row>
    <row r="326" spans="1:10" x14ac:dyDescent="0.3">
      <c r="A326" s="119" t="str">
        <f>ORÇAMENTO!A191</f>
        <v>7.52</v>
      </c>
      <c r="B326" s="12" t="str">
        <f>ORÇAMENTO!B191</f>
        <v>GOINFRA</v>
      </c>
      <c r="C326" s="13">
        <f>ORÇAMENTO!C191</f>
        <v>81101</v>
      </c>
      <c r="D326" s="52" t="str">
        <f>ORÇAMENTO!D191</f>
        <v>LUVA SOLDAVEL DIAMETRO 20 mm</v>
      </c>
      <c r="E326" s="153" t="str">
        <f>ORÇAMENTO!F191</f>
        <v>und.</v>
      </c>
      <c r="F326" s="578">
        <f>ORÇAMENTO!E191</f>
        <v>1</v>
      </c>
      <c r="G326" s="622"/>
      <c r="H326" s="622"/>
      <c r="I326" s="622"/>
      <c r="J326" s="623"/>
    </row>
    <row r="327" spans="1:10" x14ac:dyDescent="0.3">
      <c r="A327" s="119" t="str">
        <f>ORÇAMENTO!A192</f>
        <v>7.53</v>
      </c>
      <c r="B327" s="12" t="str">
        <f>ORÇAMENTO!B192</f>
        <v>GOINFRA</v>
      </c>
      <c r="C327" s="13">
        <f>ORÇAMENTO!C192</f>
        <v>81102</v>
      </c>
      <c r="D327" s="52" t="str">
        <f>ORÇAMENTO!D192</f>
        <v xml:space="preserve">LUVA SOLDAVEL DIAMETRO 25 mm </v>
      </c>
      <c r="E327" s="153" t="str">
        <f>ORÇAMENTO!F192</f>
        <v>und.</v>
      </c>
      <c r="F327" s="578">
        <f>ORÇAMENTO!E192</f>
        <v>16</v>
      </c>
      <c r="G327" s="622"/>
      <c r="H327" s="622"/>
      <c r="I327" s="622"/>
      <c r="J327" s="623"/>
    </row>
    <row r="328" spans="1:10" x14ac:dyDescent="0.3">
      <c r="A328" s="119" t="str">
        <f>ORÇAMENTO!A193</f>
        <v>7.54</v>
      </c>
      <c r="B328" s="12" t="str">
        <f>ORÇAMENTO!B193</f>
        <v>GOINFRA</v>
      </c>
      <c r="C328" s="13">
        <f>ORÇAMENTO!C193</f>
        <v>81105</v>
      </c>
      <c r="D328" s="52" t="str">
        <f>ORÇAMENTO!D193</f>
        <v>LUVA SOLDAVEL DIAMETRO 50 mm</v>
      </c>
      <c r="E328" s="153" t="str">
        <f>ORÇAMENTO!F193</f>
        <v>und.</v>
      </c>
      <c r="F328" s="578">
        <f>ORÇAMENTO!E193</f>
        <v>6</v>
      </c>
      <c r="G328" s="622"/>
      <c r="H328" s="622"/>
      <c r="I328" s="622"/>
      <c r="J328" s="623"/>
    </row>
    <row r="329" spans="1:10" x14ac:dyDescent="0.3">
      <c r="A329" s="119" t="str">
        <f>ORÇAMENTO!A194</f>
        <v>7.55</v>
      </c>
      <c r="B329" s="12" t="str">
        <f>ORÇAMENTO!B194</f>
        <v>GOINFRA</v>
      </c>
      <c r="C329" s="13">
        <f>ORÇAMENTO!C194</f>
        <v>81131</v>
      </c>
      <c r="D329" s="52" t="str">
        <f>ORÇAMENTO!D194</f>
        <v>LUVA SOLDAVEL C/ROSCA DIAMETRO 25 X 3/4"</v>
      </c>
      <c r="E329" s="153" t="str">
        <f>ORÇAMENTO!F194</f>
        <v>und.</v>
      </c>
      <c r="F329" s="578">
        <f>ORÇAMENTO!E194</f>
        <v>2</v>
      </c>
      <c r="G329" s="622"/>
      <c r="H329" s="622"/>
      <c r="I329" s="622"/>
      <c r="J329" s="623"/>
    </row>
    <row r="330" spans="1:10" x14ac:dyDescent="0.3">
      <c r="A330" s="119" t="str">
        <f>ORÇAMENTO!A195</f>
        <v>7.56</v>
      </c>
      <c r="B330" s="12" t="str">
        <f>ORÇAMENTO!B195</f>
        <v>GOINFRA</v>
      </c>
      <c r="C330" s="13">
        <f>ORÇAMENTO!C195</f>
        <v>81160</v>
      </c>
      <c r="D330" s="52" t="str">
        <f>ORÇAMENTO!D195</f>
        <v>B U C H A S</v>
      </c>
      <c r="E330" s="153"/>
      <c r="F330" s="578"/>
      <c r="G330" s="622"/>
      <c r="H330" s="622"/>
      <c r="I330" s="622"/>
      <c r="J330" s="623"/>
    </row>
    <row r="331" spans="1:10" x14ac:dyDescent="0.3">
      <c r="A331" s="119" t="str">
        <f>ORÇAMENTO!A196</f>
        <v>7.57</v>
      </c>
      <c r="B331" s="12" t="str">
        <f>ORÇAMENTO!B196</f>
        <v>GOINFRA</v>
      </c>
      <c r="C331" s="13">
        <f>ORÇAMENTO!C196</f>
        <v>81179</v>
      </c>
      <c r="D331" s="52" t="str">
        <f>ORÇAMENTO!D196</f>
        <v>BUCHA DE REDUCAO SOLDAVEL LONGA 50 X 25 mm</v>
      </c>
      <c r="E331" s="153" t="str">
        <f>ORÇAMENTO!F196</f>
        <v>und.</v>
      </c>
      <c r="F331" s="578">
        <f>ORÇAMENTO!E196</f>
        <v>2</v>
      </c>
      <c r="G331" s="622"/>
      <c r="H331" s="622"/>
      <c r="I331" s="622"/>
      <c r="J331" s="623"/>
    </row>
    <row r="332" spans="1:10" x14ac:dyDescent="0.3">
      <c r="A332" s="119" t="str">
        <f>ORÇAMENTO!A197</f>
        <v>7.58</v>
      </c>
      <c r="B332" s="12" t="str">
        <f>ORÇAMENTO!B197</f>
        <v>GOINFRA</v>
      </c>
      <c r="C332" s="13">
        <f>ORÇAMENTO!C197</f>
        <v>81181</v>
      </c>
      <c r="D332" s="52" t="str">
        <f>ORÇAMENTO!D197</f>
        <v>BUCHA DE REDUCAO SOLDAVEL LONGA 60 X 25 mm</v>
      </c>
      <c r="E332" s="153" t="str">
        <f>ORÇAMENTO!F197</f>
        <v>und.</v>
      </c>
      <c r="F332" s="578">
        <f>ORÇAMENTO!E197</f>
        <v>2</v>
      </c>
      <c r="G332" s="622"/>
      <c r="H332" s="622"/>
      <c r="I332" s="622"/>
      <c r="J332" s="623"/>
    </row>
    <row r="333" spans="1:10" x14ac:dyDescent="0.3">
      <c r="A333" s="119" t="str">
        <f>ORÇAMENTO!A198</f>
        <v>7.59</v>
      </c>
      <c r="B333" s="12" t="str">
        <f>ORÇAMENTO!B198</f>
        <v>GOINFRA</v>
      </c>
      <c r="C333" s="13">
        <f>ORÇAMENTO!C198</f>
        <v>81300</v>
      </c>
      <c r="D333" s="52" t="str">
        <f>ORÇAMENTO!D198</f>
        <v xml:space="preserve"> J O E L H O S</v>
      </c>
      <c r="E333" s="153"/>
      <c r="F333" s="578"/>
      <c r="G333" s="622"/>
      <c r="H333" s="622"/>
      <c r="I333" s="622"/>
      <c r="J333" s="623"/>
    </row>
    <row r="334" spans="1:10" x14ac:dyDescent="0.3">
      <c r="A334" s="119" t="str">
        <f>ORÇAMENTO!A199</f>
        <v>7.60</v>
      </c>
      <c r="B334" s="12" t="str">
        <f>ORÇAMENTO!B199</f>
        <v>GOINFRA</v>
      </c>
      <c r="C334" s="13">
        <f>ORÇAMENTO!C199</f>
        <v>81320</v>
      </c>
      <c r="D334" s="52" t="str">
        <f>ORÇAMENTO!D199</f>
        <v>JOELHO 90 GRAUS SOLDAVEL DIAMETRO 20 MM</v>
      </c>
      <c r="E334" s="153" t="str">
        <f>ORÇAMENTO!F199</f>
        <v>und.</v>
      </c>
      <c r="F334" s="578">
        <f>ORÇAMENTO!E199</f>
        <v>5</v>
      </c>
      <c r="G334" s="622"/>
      <c r="H334" s="622"/>
      <c r="I334" s="622"/>
      <c r="J334" s="623"/>
    </row>
    <row r="335" spans="1:10" x14ac:dyDescent="0.3">
      <c r="A335" s="119" t="str">
        <f>ORÇAMENTO!A200</f>
        <v>7.61</v>
      </c>
      <c r="B335" s="12" t="str">
        <f>ORÇAMENTO!B200</f>
        <v>GOINFRA</v>
      </c>
      <c r="C335" s="13">
        <f>ORÇAMENTO!C200</f>
        <v>81321</v>
      </c>
      <c r="D335" s="52" t="str">
        <f>ORÇAMENTO!D200</f>
        <v xml:space="preserve">JOELHO 90 GRAUS SOLDAVEL DIAMETRO 25 MM </v>
      </c>
      <c r="E335" s="153" t="str">
        <f>ORÇAMENTO!F200</f>
        <v>und.</v>
      </c>
      <c r="F335" s="578">
        <f>ORÇAMENTO!E200</f>
        <v>144</v>
      </c>
      <c r="G335" s="622"/>
      <c r="H335" s="622"/>
      <c r="I335" s="622"/>
      <c r="J335" s="623"/>
    </row>
    <row r="336" spans="1:10" x14ac:dyDescent="0.3">
      <c r="A336" s="119" t="str">
        <f>ORÇAMENTO!A201</f>
        <v>7.62</v>
      </c>
      <c r="B336" s="12" t="str">
        <f>ORÇAMENTO!B201</f>
        <v>GOINFRA</v>
      </c>
      <c r="C336" s="13">
        <f>ORÇAMENTO!C201</f>
        <v>81322</v>
      </c>
      <c r="D336" s="52" t="str">
        <f>ORÇAMENTO!D201</f>
        <v xml:space="preserve">JOELHO 90 GRAUS SOLDAVEL DIAMETRO 32 MM (1") </v>
      </c>
      <c r="E336" s="153" t="str">
        <f>ORÇAMENTO!F201</f>
        <v>und.</v>
      </c>
      <c r="F336" s="578">
        <f>ORÇAMENTO!E201</f>
        <v>10</v>
      </c>
      <c r="G336" s="622"/>
      <c r="H336" s="622"/>
      <c r="I336" s="622"/>
      <c r="J336" s="623"/>
    </row>
    <row r="337" spans="1:10" x14ac:dyDescent="0.3">
      <c r="A337" s="119" t="str">
        <f>ORÇAMENTO!A202</f>
        <v>7.63</v>
      </c>
      <c r="B337" s="12" t="str">
        <f>ORÇAMENTO!B202</f>
        <v>GOINFRA</v>
      </c>
      <c r="C337" s="13">
        <f>ORÇAMENTO!C202</f>
        <v>81324</v>
      </c>
      <c r="D337" s="52" t="str">
        <f>ORÇAMENTO!D202</f>
        <v xml:space="preserve">JOELHO 90 GRAUS SOLDAVEL 50 mm (MARROM) </v>
      </c>
      <c r="E337" s="153" t="str">
        <f>ORÇAMENTO!F202</f>
        <v>und.</v>
      </c>
      <c r="F337" s="578">
        <f>ORÇAMENTO!E202</f>
        <v>20</v>
      </c>
      <c r="G337" s="622"/>
      <c r="H337" s="622"/>
      <c r="I337" s="622"/>
      <c r="J337" s="623"/>
    </row>
    <row r="338" spans="1:10" x14ac:dyDescent="0.3">
      <c r="A338" s="119" t="str">
        <f>ORÇAMENTO!A203</f>
        <v>7.64</v>
      </c>
      <c r="B338" s="12" t="str">
        <f>ORÇAMENTO!B203</f>
        <v>GOINFRA</v>
      </c>
      <c r="C338" s="13">
        <f>ORÇAMENTO!C203</f>
        <v>81325</v>
      </c>
      <c r="D338" s="52" t="str">
        <f>ORÇAMENTO!D203</f>
        <v>JOELHO 90 GRAUS SOLDAVEL DIAMETRO 60 mm</v>
      </c>
      <c r="E338" s="153" t="str">
        <f>ORÇAMENTO!F203</f>
        <v>und.</v>
      </c>
      <c r="F338" s="578">
        <f>ORÇAMENTO!E203</f>
        <v>1</v>
      </c>
      <c r="G338" s="622"/>
      <c r="H338" s="622"/>
      <c r="I338" s="622"/>
      <c r="J338" s="623"/>
    </row>
    <row r="339" spans="1:10" x14ac:dyDescent="0.3">
      <c r="A339" s="119" t="str">
        <f>ORÇAMENTO!A204</f>
        <v>7.65</v>
      </c>
      <c r="B339" s="12" t="str">
        <f>ORÇAMENTO!B204</f>
        <v>GOINFRA</v>
      </c>
      <c r="C339" s="13">
        <f>ORÇAMENTO!C204</f>
        <v>81360</v>
      </c>
      <c r="D339" s="52" t="str">
        <f>ORÇAMENTO!D204</f>
        <v xml:space="preserve">JOELHO RED.90 GRAUS SOLD.C/BUCHA LATAO 25X1/2" </v>
      </c>
      <c r="E339" s="153" t="str">
        <f>ORÇAMENTO!F204</f>
        <v>und.</v>
      </c>
      <c r="F339" s="578">
        <f>ORÇAMENTO!E204</f>
        <v>27</v>
      </c>
      <c r="G339" s="622"/>
      <c r="H339" s="622"/>
      <c r="I339" s="622"/>
      <c r="J339" s="623"/>
    </row>
    <row r="340" spans="1:10" x14ac:dyDescent="0.3">
      <c r="A340" s="119" t="str">
        <f>ORÇAMENTO!A205</f>
        <v>7.66</v>
      </c>
      <c r="B340" s="12" t="str">
        <f>ORÇAMENTO!B205</f>
        <v>GOINFRA</v>
      </c>
      <c r="C340" s="13">
        <f>ORÇAMENTO!C205</f>
        <v>81369</v>
      </c>
      <c r="D340" s="52" t="str">
        <f>ORÇAMENTO!D205</f>
        <v>JOELHO 90 GRAUS SOLD. C/BUCHA LATAO 25 X 3/4"</v>
      </c>
      <c r="E340" s="153" t="str">
        <f>ORÇAMENTO!F205</f>
        <v>und.</v>
      </c>
      <c r="F340" s="578">
        <f>ORÇAMENTO!E205</f>
        <v>38</v>
      </c>
      <c r="G340" s="622"/>
      <c r="H340" s="622"/>
      <c r="I340" s="622"/>
      <c r="J340" s="623"/>
    </row>
    <row r="341" spans="1:10" x14ac:dyDescent="0.3">
      <c r="A341" s="119" t="str">
        <f>ORÇAMENTO!A206</f>
        <v>7.67</v>
      </c>
      <c r="B341" s="12" t="str">
        <f>ORÇAMENTO!B206</f>
        <v>GOINFRA</v>
      </c>
      <c r="C341" s="13">
        <f>ORÇAMENTO!C206</f>
        <v>81400</v>
      </c>
      <c r="D341" s="52" t="str">
        <f>ORÇAMENTO!D206</f>
        <v xml:space="preserve"> T E</v>
      </c>
      <c r="E341" s="153"/>
      <c r="F341" s="578"/>
      <c r="G341" s="622"/>
      <c r="H341" s="622"/>
      <c r="I341" s="622"/>
      <c r="J341" s="623"/>
    </row>
    <row r="342" spans="1:10" x14ac:dyDescent="0.3">
      <c r="A342" s="119" t="str">
        <f>ORÇAMENTO!A207</f>
        <v>7.68</v>
      </c>
      <c r="B342" s="12" t="str">
        <f>ORÇAMENTO!B207</f>
        <v>GOINFRA</v>
      </c>
      <c r="C342" s="13">
        <f>ORÇAMENTO!C207</f>
        <v>81402</v>
      </c>
      <c r="D342" s="52" t="str">
        <f>ORÇAMENTO!D207</f>
        <v xml:space="preserve"> TE 90 GRAUS SOLDAVEL DIAMETRO 25 mm</v>
      </c>
      <c r="E342" s="153" t="str">
        <f>ORÇAMENTO!F207</f>
        <v>und.</v>
      </c>
      <c r="F342" s="578">
        <f>ORÇAMENTO!E207</f>
        <v>57</v>
      </c>
      <c r="G342" s="622"/>
      <c r="H342" s="622"/>
      <c r="I342" s="622"/>
      <c r="J342" s="623"/>
    </row>
    <row r="343" spans="1:10" x14ac:dyDescent="0.3">
      <c r="A343" s="119" t="str">
        <f>ORÇAMENTO!A208</f>
        <v>7.69</v>
      </c>
      <c r="B343" s="12" t="str">
        <f>ORÇAMENTO!B208</f>
        <v>GOINFRA</v>
      </c>
      <c r="C343" s="13">
        <f>ORÇAMENTO!C208</f>
        <v>81403</v>
      </c>
      <c r="D343" s="52" t="str">
        <f>ORÇAMENTO!D208</f>
        <v xml:space="preserve">TE 90 GRAUS SOLDAVEL DIAMETRO 32 mm </v>
      </c>
      <c r="E343" s="153" t="str">
        <f>ORÇAMENTO!F208</f>
        <v>und.</v>
      </c>
      <c r="F343" s="578">
        <f>ORÇAMENTO!E208</f>
        <v>5</v>
      </c>
      <c r="G343" s="622"/>
      <c r="H343" s="622"/>
      <c r="I343" s="622"/>
      <c r="J343" s="623"/>
    </row>
    <row r="344" spans="1:10" x14ac:dyDescent="0.3">
      <c r="A344" s="119" t="str">
        <f>ORÇAMENTO!A209</f>
        <v>7.70</v>
      </c>
      <c r="B344" s="12" t="str">
        <f>ORÇAMENTO!B209</f>
        <v>GOINFRA</v>
      </c>
      <c r="C344" s="13">
        <f>ORÇAMENTO!C209</f>
        <v>81405</v>
      </c>
      <c r="D344" s="52" t="str">
        <f>ORÇAMENTO!D209</f>
        <v xml:space="preserve">TE 90 GRAUS SOLDAVEL DIAMETRO 50 mm </v>
      </c>
      <c r="E344" s="153" t="str">
        <f>ORÇAMENTO!F209</f>
        <v>und.</v>
      </c>
      <c r="F344" s="578">
        <f>ORÇAMENTO!E209</f>
        <v>8</v>
      </c>
      <c r="G344" s="622"/>
      <c r="H344" s="622"/>
      <c r="I344" s="622"/>
      <c r="J344" s="623"/>
    </row>
    <row r="345" spans="1:10" x14ac:dyDescent="0.3">
      <c r="A345" s="119" t="str">
        <f>ORÇAMENTO!A210</f>
        <v>7.71</v>
      </c>
      <c r="B345" s="12" t="str">
        <f>ORÇAMENTO!B210</f>
        <v>GOINFRA</v>
      </c>
      <c r="C345" s="13">
        <f>ORÇAMENTO!C210</f>
        <v>81406</v>
      </c>
      <c r="D345" s="52" t="str">
        <f>ORÇAMENTO!D210</f>
        <v>TE 90 GRAUS SOLDAVEL DIMETRO 60 mm</v>
      </c>
      <c r="E345" s="153" t="str">
        <f>ORÇAMENTO!F210</f>
        <v>und.</v>
      </c>
      <c r="F345" s="578">
        <f>ORÇAMENTO!E210</f>
        <v>1</v>
      </c>
      <c r="G345" s="622"/>
      <c r="H345" s="622"/>
      <c r="I345" s="622"/>
      <c r="J345" s="623"/>
    </row>
    <row r="346" spans="1:10" x14ac:dyDescent="0.3">
      <c r="A346" s="119" t="str">
        <f>ORÇAMENTO!A211</f>
        <v>7.72</v>
      </c>
      <c r="B346" s="12" t="str">
        <f>ORÇAMENTO!B211</f>
        <v>GOINFRA</v>
      </c>
      <c r="C346" s="13">
        <f>ORÇAMENTO!C211</f>
        <v>81424</v>
      </c>
      <c r="D346" s="52" t="str">
        <f>ORÇAMENTO!D211</f>
        <v>TE REDUCAO 90 GRAUS SOLDAVEL 50 X 25 mm</v>
      </c>
      <c r="E346" s="153" t="str">
        <f>ORÇAMENTO!F211</f>
        <v>und.</v>
      </c>
      <c r="F346" s="578">
        <f>ORÇAMENTO!E211</f>
        <v>10</v>
      </c>
      <c r="G346" s="622"/>
      <c r="H346" s="622"/>
      <c r="I346" s="622"/>
      <c r="J346" s="623"/>
    </row>
    <row r="347" spans="1:10" x14ac:dyDescent="0.3">
      <c r="A347" s="119" t="str">
        <f>ORÇAMENTO!A212</f>
        <v>7.73</v>
      </c>
      <c r="B347" s="12" t="str">
        <f>ORÇAMENTO!B212</f>
        <v>GOINFRA</v>
      </c>
      <c r="C347" s="13">
        <f>ORÇAMENTO!C212</f>
        <v>81444</v>
      </c>
      <c r="D347" s="52" t="str">
        <f>ORÇAMENTO!D212</f>
        <v>TE 90 GR.SOLD.C/BUC.LATAO NA BOLSA CENT.25X25X3/4"</v>
      </c>
      <c r="E347" s="153" t="str">
        <f>ORÇAMENTO!F212</f>
        <v>und.</v>
      </c>
      <c r="F347" s="578">
        <f>ORÇAMENTO!E212</f>
        <v>5</v>
      </c>
      <c r="G347" s="622"/>
      <c r="H347" s="622"/>
      <c r="I347" s="622"/>
      <c r="J347" s="623"/>
    </row>
    <row r="348" spans="1:10" x14ac:dyDescent="0.3">
      <c r="A348" s="119" t="str">
        <f>ORÇAMENTO!A213</f>
        <v>7.74</v>
      </c>
      <c r="B348" s="12" t="str">
        <f>ORÇAMENTO!B213</f>
        <v>GOINFRA</v>
      </c>
      <c r="C348" s="13">
        <f>ORÇAMENTO!C213</f>
        <v>81445</v>
      </c>
      <c r="D348" s="52" t="str">
        <f>ORÇAMENTO!D213</f>
        <v>TE RED.SOLD.90GR.BUC.LATAO BOLSA CENT.25X25X1/2"</v>
      </c>
      <c r="E348" s="153" t="str">
        <f>ORÇAMENTO!F213</f>
        <v>und.</v>
      </c>
      <c r="F348" s="578">
        <f>ORÇAMENTO!E213</f>
        <v>5</v>
      </c>
      <c r="G348" s="622"/>
      <c r="H348" s="622"/>
      <c r="I348" s="622"/>
      <c r="J348" s="623"/>
    </row>
    <row r="349" spans="1:10" x14ac:dyDescent="0.3">
      <c r="A349" s="119" t="str">
        <f>ORÇAMENTO!A214</f>
        <v>7.75</v>
      </c>
      <c r="B349" s="12" t="str">
        <f>ORÇAMENTO!B214</f>
        <v>GOINFRA</v>
      </c>
      <c r="C349" s="13">
        <f>ORÇAMENTO!C214</f>
        <v>81535</v>
      </c>
      <c r="D349" s="52" t="str">
        <f>ORÇAMENTO!D214</f>
        <v>C U R V A S</v>
      </c>
      <c r="E349" s="153"/>
      <c r="F349" s="578"/>
      <c r="G349" s="622"/>
      <c r="H349" s="622"/>
      <c r="I349" s="622"/>
      <c r="J349" s="623"/>
    </row>
    <row r="350" spans="1:10" x14ac:dyDescent="0.3">
      <c r="A350" s="119" t="str">
        <f>ORÇAMENTO!A215</f>
        <v>7.76</v>
      </c>
      <c r="B350" s="12" t="str">
        <f>ORÇAMENTO!B215</f>
        <v>GOINFRA</v>
      </c>
      <c r="C350" s="13">
        <f>ORÇAMENTO!C215</f>
        <v>81540</v>
      </c>
      <c r="D350" s="52" t="str">
        <f>ORÇAMENTO!D215</f>
        <v>CURVA 90 GRAUS SOLDAVEL DIAMETRO 50 mm</v>
      </c>
      <c r="E350" s="153" t="str">
        <f>ORÇAMENTO!F215</f>
        <v>und.</v>
      </c>
      <c r="F350" s="578">
        <f>ORÇAMENTO!E215</f>
        <v>1</v>
      </c>
      <c r="G350" s="622"/>
      <c r="H350" s="622"/>
      <c r="I350" s="622"/>
      <c r="J350" s="623"/>
    </row>
    <row r="351" spans="1:10" x14ac:dyDescent="0.3">
      <c r="A351" s="119" t="str">
        <f>ORÇAMENTO!A216</f>
        <v>7.77</v>
      </c>
      <c r="B351" s="12" t="str">
        <f>ORÇAMENTO!B216</f>
        <v>GOINFRA</v>
      </c>
      <c r="C351" s="13">
        <f>ORÇAMENTO!C216</f>
        <v>81600</v>
      </c>
      <c r="D351" s="52" t="str">
        <f>ORÇAMENTO!D216</f>
        <v>E S G O T O S A N I T A R I O</v>
      </c>
      <c r="E351" s="153"/>
      <c r="F351" s="578"/>
      <c r="G351" s="622"/>
      <c r="H351" s="622"/>
      <c r="I351" s="622"/>
      <c r="J351" s="623"/>
    </row>
    <row r="352" spans="1:10" x14ac:dyDescent="0.3">
      <c r="A352" s="119" t="str">
        <f>ORÇAMENTO!A217</f>
        <v>7.78</v>
      </c>
      <c r="B352" s="12" t="str">
        <f>ORÇAMENTO!B217</f>
        <v>GOINFRA</v>
      </c>
      <c r="C352" s="13">
        <f>ORÇAMENTO!C217</f>
        <v>81601</v>
      </c>
      <c r="D352" s="52" t="str">
        <f>ORÇAMENTO!D217</f>
        <v>B U C H A S</v>
      </c>
      <c r="E352" s="153"/>
      <c r="F352" s="578"/>
      <c r="G352" s="622"/>
      <c r="H352" s="622"/>
      <c r="I352" s="622"/>
      <c r="J352" s="623"/>
    </row>
    <row r="353" spans="1:10" x14ac:dyDescent="0.3">
      <c r="A353" s="119" t="str">
        <f>ORÇAMENTO!A218</f>
        <v>7.79</v>
      </c>
      <c r="B353" s="12" t="str">
        <f>ORÇAMENTO!B218</f>
        <v>GOINFRA</v>
      </c>
      <c r="C353" s="13">
        <f>ORÇAMENTO!C218</f>
        <v>81602</v>
      </c>
      <c r="D353" s="52" t="str">
        <f>ORÇAMENTO!D218</f>
        <v>BUCHA DE REDUCAO LONGA DIAM. 50 X 40 MM</v>
      </c>
      <c r="E353" s="153" t="str">
        <f>ORÇAMENTO!F218</f>
        <v>und.</v>
      </c>
      <c r="F353" s="578">
        <f>ORÇAMENTO!E218</f>
        <v>4</v>
      </c>
      <c r="G353" s="622"/>
      <c r="H353" s="622"/>
      <c r="I353" s="622"/>
      <c r="J353" s="623"/>
    </row>
    <row r="354" spans="1:10" x14ac:dyDescent="0.3">
      <c r="A354" s="119" t="str">
        <f>ORÇAMENTO!A219</f>
        <v>7.80</v>
      </c>
      <c r="B354" s="12" t="str">
        <f>ORÇAMENTO!B219</f>
        <v>GOINFRA</v>
      </c>
      <c r="C354" s="13">
        <f>ORÇAMENTO!C219</f>
        <v>81660</v>
      </c>
      <c r="D354" s="52" t="str">
        <f>ORÇAMENTO!D219</f>
        <v>C O R P O DE C A I X A S I F O N A D A/R A L O</v>
      </c>
      <c r="E354" s="153"/>
      <c r="F354" s="578"/>
      <c r="G354" s="622"/>
      <c r="H354" s="622"/>
      <c r="I354" s="622"/>
      <c r="J354" s="623"/>
    </row>
    <row r="355" spans="1:10" x14ac:dyDescent="0.3">
      <c r="A355" s="119" t="str">
        <f>ORÇAMENTO!A220</f>
        <v>7.81</v>
      </c>
      <c r="B355" s="12" t="str">
        <f>ORÇAMENTO!B220</f>
        <v>GOINFRA</v>
      </c>
      <c r="C355" s="13">
        <f>ORÇAMENTO!C220</f>
        <v>81663</v>
      </c>
      <c r="D355" s="52" t="str">
        <f>ORÇAMENTO!D220</f>
        <v xml:space="preserve">CORPO CX. SIFONADA DIAM. 150 X 150 X 50 </v>
      </c>
      <c r="E355" s="153" t="str">
        <f>ORÇAMENTO!F220</f>
        <v>und.</v>
      </c>
      <c r="F355" s="578">
        <f>ORÇAMENTO!E220</f>
        <v>38</v>
      </c>
      <c r="G355" s="622"/>
      <c r="H355" s="622"/>
      <c r="I355" s="622"/>
      <c r="J355" s="623"/>
    </row>
    <row r="356" spans="1:10" x14ac:dyDescent="0.3">
      <c r="A356" s="119" t="str">
        <f>ORÇAMENTO!A221</f>
        <v>7.82</v>
      </c>
      <c r="B356" s="12" t="str">
        <f>ORÇAMENTO!B221</f>
        <v>GOINFRA</v>
      </c>
      <c r="C356" s="13">
        <f>ORÇAMENTO!C221</f>
        <v>81665</v>
      </c>
      <c r="D356" s="52" t="str">
        <f>ORÇAMENTO!D221</f>
        <v>CORPO CX. SIFONADA DIAM. 250 X 172 X 50</v>
      </c>
      <c r="E356" s="153" t="str">
        <f>ORÇAMENTO!F221</f>
        <v>und.</v>
      </c>
      <c r="F356" s="578">
        <f>ORÇAMENTO!E221</f>
        <v>3</v>
      </c>
      <c r="G356" s="622"/>
      <c r="H356" s="622"/>
      <c r="I356" s="622"/>
      <c r="J356" s="623"/>
    </row>
    <row r="357" spans="1:10" x14ac:dyDescent="0.3">
      <c r="A357" s="119" t="str">
        <f>ORÇAMENTO!A222</f>
        <v>7.83</v>
      </c>
      <c r="B357" s="12" t="str">
        <f>ORÇAMENTO!B222</f>
        <v>GOINFRA</v>
      </c>
      <c r="C357" s="13">
        <f>ORÇAMENTO!C222</f>
        <v>81666</v>
      </c>
      <c r="D357" s="52" t="str">
        <f>ORÇAMENTO!D222</f>
        <v>CORPO CX. SIFONADA DIAM. 250 X 230 X 75</v>
      </c>
      <c r="E357" s="153" t="str">
        <f>ORÇAMENTO!F222</f>
        <v>und.</v>
      </c>
      <c r="F357" s="578">
        <f>ORÇAMENTO!E222</f>
        <v>3</v>
      </c>
      <c r="G357" s="622"/>
      <c r="H357" s="622"/>
      <c r="I357" s="622"/>
      <c r="J357" s="623"/>
    </row>
    <row r="358" spans="1:10" x14ac:dyDescent="0.3">
      <c r="A358" s="119" t="str">
        <f>ORÇAMENTO!A223</f>
        <v>7.84</v>
      </c>
      <c r="B358" s="12" t="str">
        <f>ORÇAMENTO!B223</f>
        <v>GOINFRA</v>
      </c>
      <c r="C358" s="13">
        <f>ORÇAMENTO!C223</f>
        <v>81690</v>
      </c>
      <c r="D358" s="52" t="str">
        <f>ORÇAMENTO!D223</f>
        <v xml:space="preserve">CORPO RALO SIFONADO CILINDRICO 100 X 40 </v>
      </c>
      <c r="E358" s="153" t="str">
        <f>ORÇAMENTO!F223</f>
        <v>und.</v>
      </c>
      <c r="F358" s="578">
        <f>ORÇAMENTO!E223</f>
        <v>1</v>
      </c>
      <c r="G358" s="622"/>
      <c r="H358" s="622"/>
      <c r="I358" s="622"/>
      <c r="J358" s="623"/>
    </row>
    <row r="359" spans="1:10" x14ac:dyDescent="0.3">
      <c r="A359" s="119" t="str">
        <f>ORÇAMENTO!A224</f>
        <v>7.85</v>
      </c>
      <c r="B359" s="12" t="str">
        <f>ORÇAMENTO!B224</f>
        <v>GOINFRA</v>
      </c>
      <c r="C359" s="13">
        <f>ORÇAMENTO!C224</f>
        <v>81700</v>
      </c>
      <c r="D359" s="52" t="str">
        <f>ORÇAMENTO!D224</f>
        <v xml:space="preserve"> C U R V A S</v>
      </c>
      <c r="E359" s="153"/>
      <c r="F359" s="578"/>
      <c r="G359" s="622"/>
      <c r="H359" s="622"/>
      <c r="I359" s="622"/>
      <c r="J359" s="623"/>
    </row>
    <row r="360" spans="1:10" x14ac:dyDescent="0.3">
      <c r="A360" s="119" t="str">
        <f>ORÇAMENTO!A225</f>
        <v>7.86</v>
      </c>
      <c r="B360" s="12" t="str">
        <f>ORÇAMENTO!B225</f>
        <v>GOINFRA</v>
      </c>
      <c r="C360" s="13">
        <f>ORÇAMENTO!C225</f>
        <v>81701</v>
      </c>
      <c r="D360" s="52" t="str">
        <f>ORÇAMENTO!D225</f>
        <v xml:space="preserve"> CURVA 45 GRAUS DIAMETRO 40 MM </v>
      </c>
      <c r="E360" s="153" t="str">
        <f>ORÇAMENTO!F225</f>
        <v>und.</v>
      </c>
      <c r="F360" s="578">
        <f>ORÇAMENTO!E225</f>
        <v>1</v>
      </c>
      <c r="G360" s="622"/>
      <c r="H360" s="622"/>
      <c r="I360" s="622"/>
      <c r="J360" s="623"/>
    </row>
    <row r="361" spans="1:10" x14ac:dyDescent="0.3">
      <c r="A361" s="119" t="str">
        <f>ORÇAMENTO!A226</f>
        <v>7.87</v>
      </c>
      <c r="B361" s="12" t="str">
        <f>ORÇAMENTO!B226</f>
        <v>GOINFRA</v>
      </c>
      <c r="C361" s="13">
        <f>ORÇAMENTO!C226</f>
        <v>81702</v>
      </c>
      <c r="D361" s="52" t="str">
        <f>ORÇAMENTO!D226</f>
        <v>CURVA 45 GRAUS DIAMETRO 100 MM</v>
      </c>
      <c r="E361" s="153" t="str">
        <f>ORÇAMENTO!F226</f>
        <v>und.</v>
      </c>
      <c r="F361" s="578">
        <f>ORÇAMENTO!E226</f>
        <v>17</v>
      </c>
      <c r="G361" s="622"/>
      <c r="H361" s="622"/>
      <c r="I361" s="622"/>
      <c r="J361" s="623"/>
    </row>
    <row r="362" spans="1:10" x14ac:dyDescent="0.3">
      <c r="A362" s="119" t="str">
        <f>ORÇAMENTO!A227</f>
        <v>7.88</v>
      </c>
      <c r="B362" s="12" t="str">
        <f>ORÇAMENTO!B227</f>
        <v>GOINFRA</v>
      </c>
      <c r="C362" s="13">
        <f>ORÇAMENTO!C227</f>
        <v>81733</v>
      </c>
      <c r="D362" s="52" t="str">
        <f>ORÇAMENTO!D227</f>
        <v xml:space="preserve">CURVA 90 GRAUS CURTA DIAM. 100 MM </v>
      </c>
      <c r="E362" s="153" t="str">
        <f>ORÇAMENTO!F227</f>
        <v>und.</v>
      </c>
      <c r="F362" s="578">
        <f>ORÇAMENTO!E227</f>
        <v>13</v>
      </c>
      <c r="G362" s="622"/>
      <c r="H362" s="622"/>
      <c r="I362" s="622"/>
      <c r="J362" s="623"/>
    </row>
    <row r="363" spans="1:10" x14ac:dyDescent="0.3">
      <c r="A363" s="119" t="str">
        <f>ORÇAMENTO!A228</f>
        <v>7.89</v>
      </c>
      <c r="B363" s="12" t="str">
        <f>ORÇAMENTO!B228</f>
        <v>GOINFRA</v>
      </c>
      <c r="C363" s="13">
        <f>ORÇAMENTO!C228</f>
        <v>81730</v>
      </c>
      <c r="D363" s="52" t="str">
        <f>ORÇAMENTO!D228</f>
        <v xml:space="preserve">CURVA 90 GRAUS CURTA DIAM. 40 MM </v>
      </c>
      <c r="E363" s="153" t="str">
        <f>ORÇAMENTO!F228</f>
        <v>und.</v>
      </c>
      <c r="F363" s="578">
        <f>ORÇAMENTO!E228</f>
        <v>12</v>
      </c>
      <c r="G363" s="622"/>
      <c r="H363" s="622"/>
      <c r="I363" s="622"/>
      <c r="J363" s="623"/>
    </row>
    <row r="364" spans="1:10" x14ac:dyDescent="0.3">
      <c r="A364" s="119" t="str">
        <f>ORÇAMENTO!A229</f>
        <v>7.90</v>
      </c>
      <c r="B364" s="12" t="str">
        <f>ORÇAMENTO!B229</f>
        <v>GOINFRA</v>
      </c>
      <c r="C364" s="13">
        <f>ORÇAMENTO!C229</f>
        <v>81731</v>
      </c>
      <c r="D364" s="52" t="str">
        <f>ORÇAMENTO!D229</f>
        <v xml:space="preserve">CURVA 90 GRAUS CURTA DIAM. 50 MM </v>
      </c>
      <c r="E364" s="153" t="str">
        <f>ORÇAMENTO!F229</f>
        <v>und.</v>
      </c>
      <c r="F364" s="578">
        <f>ORÇAMENTO!E229</f>
        <v>157</v>
      </c>
      <c r="G364" s="622"/>
      <c r="H364" s="622"/>
      <c r="I364" s="622"/>
      <c r="J364" s="623"/>
    </row>
    <row r="365" spans="1:10" x14ac:dyDescent="0.3">
      <c r="A365" s="119" t="str">
        <f>ORÇAMENTO!A230</f>
        <v>7.91</v>
      </c>
      <c r="B365" s="12" t="str">
        <f>ORÇAMENTO!B230</f>
        <v>GOINFRA</v>
      </c>
      <c r="C365" s="13">
        <f>ORÇAMENTO!C230</f>
        <v>81737</v>
      </c>
      <c r="D365" s="52" t="str">
        <f>ORÇAMENTO!D230</f>
        <v xml:space="preserve">CURVA 90 GRAUS LONGA DIAM. 100 MM </v>
      </c>
      <c r="E365" s="153" t="str">
        <f>ORÇAMENTO!F230</f>
        <v>und.</v>
      </c>
      <c r="F365" s="578">
        <f>ORÇAMENTO!E230</f>
        <v>3</v>
      </c>
      <c r="G365" s="622"/>
      <c r="H365" s="622"/>
      <c r="I365" s="622"/>
      <c r="J365" s="623"/>
    </row>
    <row r="366" spans="1:10" x14ac:dyDescent="0.3">
      <c r="A366" s="119" t="str">
        <f>ORÇAMENTO!A231</f>
        <v>7.92</v>
      </c>
      <c r="B366" s="12" t="str">
        <f>ORÇAMENTO!B231</f>
        <v>GOINFRA</v>
      </c>
      <c r="C366" s="13">
        <f>ORÇAMENTO!C231</f>
        <v>81810</v>
      </c>
      <c r="D366" s="52" t="str">
        <f>ORÇAMENTO!D231</f>
        <v>D I V E R S O S</v>
      </c>
      <c r="E366" s="153"/>
      <c r="F366" s="578"/>
      <c r="G366" s="622"/>
      <c r="H366" s="622"/>
      <c r="I366" s="622"/>
      <c r="J366" s="623"/>
    </row>
    <row r="367" spans="1:10" x14ac:dyDescent="0.3">
      <c r="A367" s="119" t="str">
        <f>ORÇAMENTO!A232</f>
        <v>7.93</v>
      </c>
      <c r="B367" s="12" t="str">
        <f>ORÇAMENTO!B232</f>
        <v>GOINFRA</v>
      </c>
      <c r="C367" s="13">
        <f>ORÇAMENTO!C232</f>
        <v>81811</v>
      </c>
      <c r="D367" s="52" t="str">
        <f>ORÇAMENTO!D232</f>
        <v xml:space="preserve">HIDROMETRO DIAM.RAMAL = 25 MM VAZAO =1,5 A 3 M3 </v>
      </c>
      <c r="E367" s="153" t="str">
        <f>ORÇAMENTO!F232</f>
        <v>und.</v>
      </c>
      <c r="F367" s="578">
        <f>ORÇAMENTO!E232</f>
        <v>1</v>
      </c>
      <c r="G367" s="622"/>
      <c r="H367" s="622"/>
      <c r="I367" s="622"/>
      <c r="J367" s="623"/>
    </row>
    <row r="368" spans="1:10" x14ac:dyDescent="0.3">
      <c r="A368" s="119" t="str">
        <f>ORÇAMENTO!A233</f>
        <v>7.94</v>
      </c>
      <c r="B368" s="12" t="str">
        <f>ORÇAMENTO!B233</f>
        <v>GOINFRA</v>
      </c>
      <c r="C368" s="13">
        <f>ORÇAMENTO!C233</f>
        <v>81815</v>
      </c>
      <c r="D368" s="52" t="str">
        <f>ORÇAMENTO!D233</f>
        <v xml:space="preserve">KIT CAVALETE D=25MM P/HIDRÔMETRO 1,5-3,0-5,0 M3/MURETA/CAIXA </v>
      </c>
      <c r="E368" s="153" t="str">
        <f>ORÇAMENTO!F233</f>
        <v>und.</v>
      </c>
      <c r="F368" s="578">
        <f>ORÇAMENTO!E233</f>
        <v>1</v>
      </c>
      <c r="G368" s="622"/>
      <c r="H368" s="622"/>
      <c r="I368" s="622"/>
      <c r="J368" s="623"/>
    </row>
    <row r="369" spans="1:10" x14ac:dyDescent="0.3">
      <c r="A369" s="119" t="str">
        <f>ORÇAMENTO!A234</f>
        <v>7.95</v>
      </c>
      <c r="B369" s="12" t="str">
        <f>ORÇAMENTO!B234</f>
        <v>GOINFRA</v>
      </c>
      <c r="C369" s="13">
        <f>ORÇAMENTO!C234</f>
        <v>81829</v>
      </c>
      <c r="D369" s="52" t="str">
        <f>ORÇAMENTO!D234</f>
        <v xml:space="preserve">CAIXA DE INSPEÇÃO - TAMPA EM CONCRETO ARMADO 25 MPA E=5CM </v>
      </c>
      <c r="E369" s="153" t="str">
        <f>ORÇAMENTO!F234</f>
        <v xml:space="preserve">m2 </v>
      </c>
      <c r="F369" s="578">
        <f>ORÇAMENTO!E234</f>
        <v>3.08</v>
      </c>
      <c r="G369" s="622"/>
      <c r="H369" s="622"/>
      <c r="I369" s="622"/>
      <c r="J369" s="623"/>
    </row>
    <row r="370" spans="1:10" ht="28.8" x14ac:dyDescent="0.3">
      <c r="A370" s="119" t="str">
        <f>ORÇAMENTO!A235</f>
        <v>7.96</v>
      </c>
      <c r="B370" s="12" t="str">
        <f>ORÇAMENTO!B235</f>
        <v>GOINFRA</v>
      </c>
      <c r="C370" s="13">
        <f>ORÇAMENTO!C235</f>
        <v>81830</v>
      </c>
      <c r="D370" s="52" t="str">
        <f>ORÇAMENTO!D235</f>
        <v>CAIXA DE INSPEÇÃO - LASTRO DE CONCRETO (COM ADIÇÃO DE IMPERMEABILIZANTE) 20MPA E=5CM PARA O FUNDO</v>
      </c>
      <c r="E370" s="153" t="str">
        <f>ORÇAMENTO!F235</f>
        <v xml:space="preserve">m3 </v>
      </c>
      <c r="F370" s="578">
        <f>ORÇAMENTO!E235</f>
        <v>0.25</v>
      </c>
      <c r="G370" s="622"/>
      <c r="H370" s="622"/>
      <c r="I370" s="622"/>
      <c r="J370" s="623"/>
    </row>
    <row r="371" spans="1:10" ht="28.8" x14ac:dyDescent="0.3">
      <c r="A371" s="119" t="str">
        <f>ORÇAMENTO!A236</f>
        <v>7.97</v>
      </c>
      <c r="B371" s="12" t="str">
        <f>ORÇAMENTO!B236</f>
        <v>GOINFRA</v>
      </c>
      <c r="C371" s="13">
        <f>ORÇAMENTO!C236</f>
        <v>81831</v>
      </c>
      <c r="D371" s="52" t="str">
        <f>ORÇAMENTO!D236</f>
        <v>CAIXA DE INSPEÇÃO - ALVENARIA DE 1/2 VEZ COM REVESTIMENTO INTERNO EM REBOCO PAULISTA A-14 (COM ADIÇÃO DE IMPERMEABILIZANTE)</v>
      </c>
      <c r="E371" s="153" t="str">
        <f>ORÇAMENTO!F236</f>
        <v xml:space="preserve">m2 </v>
      </c>
      <c r="F371" s="578">
        <f>ORÇAMENTO!E236</f>
        <v>10.28</v>
      </c>
      <c r="G371" s="622"/>
      <c r="H371" s="622"/>
      <c r="I371" s="622"/>
      <c r="J371" s="623"/>
    </row>
    <row r="372" spans="1:10" x14ac:dyDescent="0.3">
      <c r="A372" s="119" t="str">
        <f>ORÇAMENTO!A237</f>
        <v>7.98</v>
      </c>
      <c r="B372" s="12" t="str">
        <f>ORÇAMENTO!B237</f>
        <v>GOINFRA</v>
      </c>
      <c r="C372" s="13">
        <f>ORÇAMENTO!C237</f>
        <v>81833</v>
      </c>
      <c r="D372" s="52" t="str">
        <f>ORÇAMENTO!D237</f>
        <v xml:space="preserve">CAIXA DE INSPEÇÃO - ESCAVAÇÃO MANUAL / REATERRO/ APILOAMENTO DO FUNDO </v>
      </c>
      <c r="E372" s="153" t="str">
        <f>ORÇAMENTO!F237</f>
        <v>m3</v>
      </c>
      <c r="F372" s="578">
        <f>ORÇAMENTO!E237</f>
        <v>2.1040000000000001</v>
      </c>
      <c r="G372" s="622"/>
      <c r="H372" s="622"/>
      <c r="I372" s="622"/>
      <c r="J372" s="623"/>
    </row>
    <row r="373" spans="1:10" x14ac:dyDescent="0.3">
      <c r="A373" s="119" t="str">
        <f>ORÇAMENTO!A238</f>
        <v>7.99</v>
      </c>
      <c r="B373" s="12" t="str">
        <f>ORÇAMENTO!B238</f>
        <v>GOINFRA</v>
      </c>
      <c r="C373" s="13">
        <f>ORÇAMENTO!C238</f>
        <v>81824</v>
      </c>
      <c r="D373" s="52" t="str">
        <f>ORÇAMENTO!D238</f>
        <v>CAIXA DE AREIA 40X40 CM FUNDO DE BRITA COM GRELHA METÁLICA FERRO CHATO PADRÃO GOINFRA</v>
      </c>
      <c r="E373" s="153" t="str">
        <f>ORÇAMENTO!F238</f>
        <v>und.</v>
      </c>
      <c r="F373" s="578">
        <f>ORÇAMENTO!E238</f>
        <v>1</v>
      </c>
      <c r="G373" s="622"/>
      <c r="H373" s="622"/>
      <c r="I373" s="622"/>
      <c r="J373" s="623"/>
    </row>
    <row r="374" spans="1:10" x14ac:dyDescent="0.3">
      <c r="A374" s="119" t="str">
        <f>ORÇAMENTO!A239</f>
        <v>7.100</v>
      </c>
      <c r="B374" s="12" t="str">
        <f>ORÇAMENTO!B239</f>
        <v>GOINFRA</v>
      </c>
      <c r="C374" s="13">
        <f>ORÇAMENTO!C239</f>
        <v>81825</v>
      </c>
      <c r="D374" s="52" t="str">
        <f>ORÇAMENTO!D239</f>
        <v>CAIXA DE PASSAGEM 60 X 60 CM SEM TAMPA</v>
      </c>
      <c r="E374" s="153" t="str">
        <f>ORÇAMENTO!F239</f>
        <v>und.</v>
      </c>
      <c r="F374" s="578">
        <f>ORÇAMENTO!E239</f>
        <v>14</v>
      </c>
      <c r="G374" s="622"/>
      <c r="H374" s="622"/>
      <c r="I374" s="622"/>
      <c r="J374" s="623"/>
    </row>
    <row r="375" spans="1:10" x14ac:dyDescent="0.3">
      <c r="A375" s="119" t="str">
        <f>ORÇAMENTO!A240</f>
        <v>7.101</v>
      </c>
      <c r="B375" s="12" t="str">
        <f>ORÇAMENTO!B240</f>
        <v>GOINFRA</v>
      </c>
      <c r="C375" s="13">
        <f>ORÇAMENTO!C240</f>
        <v>81826</v>
      </c>
      <c r="D375" s="52" t="str">
        <f>ORÇAMENTO!D240</f>
        <v>TAMPA EM CONCRETO ARMADO 25 MPA E=5CM PARA A CAIXA DE PASSAGEM 60X60CM</v>
      </c>
      <c r="E375" s="153" t="str">
        <f>ORÇAMENTO!F240</f>
        <v>und.</v>
      </c>
      <c r="F375" s="578">
        <f>ORÇAMENTO!E240</f>
        <v>14</v>
      </c>
      <c r="G375" s="622"/>
      <c r="H375" s="622"/>
      <c r="I375" s="622"/>
      <c r="J375" s="623"/>
    </row>
    <row r="376" spans="1:10" x14ac:dyDescent="0.3">
      <c r="A376" s="119" t="str">
        <f>ORÇAMENTO!A241</f>
        <v>7.102</v>
      </c>
      <c r="B376" s="12" t="str">
        <f>ORÇAMENTO!B241</f>
        <v>GOINFRA</v>
      </c>
      <c r="C376" s="13">
        <f>ORÇAMENTO!C241</f>
        <v>81846</v>
      </c>
      <c r="D376" s="52" t="str">
        <f>ORÇAMENTO!D241</f>
        <v xml:space="preserve">CAIXA DE GORDURA E INSPEÇÃO EM PVC/ABS 19 LITROS COM TAMPA E CESTO DE LIMPEZA REMOVÍVEL </v>
      </c>
      <c r="E376" s="153" t="str">
        <f>ORÇAMENTO!F241</f>
        <v>und.</v>
      </c>
      <c r="F376" s="578">
        <f>ORÇAMENTO!E241</f>
        <v>47</v>
      </c>
      <c r="G376" s="622"/>
      <c r="H376" s="622"/>
      <c r="I376" s="622"/>
      <c r="J376" s="623"/>
    </row>
    <row r="377" spans="1:10" x14ac:dyDescent="0.3">
      <c r="A377" s="119" t="str">
        <f>ORÇAMENTO!A242</f>
        <v>7.103</v>
      </c>
      <c r="B377" s="12" t="str">
        <f>ORÇAMENTO!B242</f>
        <v>GOINFRA</v>
      </c>
      <c r="C377" s="13">
        <f>ORÇAMENTO!C242</f>
        <v>81851</v>
      </c>
      <c r="D377" s="52" t="str">
        <f>ORÇAMENTO!D242</f>
        <v>CAIXA DE GORDURA 100 L CONCRETO PADRÃO GOINFRA IMPERMEABILIZADA</v>
      </c>
      <c r="E377" s="153" t="str">
        <f>ORÇAMENTO!F242</f>
        <v>und.</v>
      </c>
      <c r="F377" s="578">
        <f>ORÇAMENTO!E242</f>
        <v>2</v>
      </c>
      <c r="G377" s="622"/>
      <c r="H377" s="622"/>
      <c r="I377" s="622"/>
      <c r="J377" s="623"/>
    </row>
    <row r="378" spans="1:10" x14ac:dyDescent="0.3">
      <c r="A378" s="119" t="str">
        <f>ORÇAMENTO!A243</f>
        <v>7.104</v>
      </c>
      <c r="B378" s="12" t="str">
        <f>ORÇAMENTO!B243</f>
        <v>GOINFRA</v>
      </c>
      <c r="C378" s="13">
        <f>ORÇAMENTO!C243</f>
        <v>81860</v>
      </c>
      <c r="D378" s="52" t="str">
        <f>ORÇAMENTO!D243</f>
        <v>CAIXA DAGUA POLIETILENO 500 LTS.C/TAMPA</v>
      </c>
      <c r="E378" s="153" t="str">
        <f>ORÇAMENTO!F243</f>
        <v>und.</v>
      </c>
      <c r="F378" s="578">
        <f>ORÇAMENTO!E243</f>
        <v>2</v>
      </c>
      <c r="G378" s="622"/>
      <c r="H378" s="622"/>
      <c r="I378" s="622"/>
      <c r="J378" s="623"/>
    </row>
    <row r="379" spans="1:10" x14ac:dyDescent="0.3">
      <c r="A379" s="119" t="str">
        <f>ORÇAMENTO!A244</f>
        <v>7.105</v>
      </c>
      <c r="B379" s="12" t="str">
        <f>ORÇAMENTO!B244</f>
        <v>GOINFRA</v>
      </c>
      <c r="C379" s="13">
        <f>ORÇAMENTO!C244</f>
        <v>81861</v>
      </c>
      <c r="D379" s="52" t="str">
        <f>ORÇAMENTO!D244</f>
        <v xml:space="preserve">CAIXA DAGUA POLIETILENO 1000 LTS. C/TAMPA </v>
      </c>
      <c r="E379" s="153" t="str">
        <f>ORÇAMENTO!F244</f>
        <v>und.</v>
      </c>
      <c r="F379" s="578">
        <f>ORÇAMENTO!E244</f>
        <v>5</v>
      </c>
      <c r="G379" s="622"/>
      <c r="H379" s="622"/>
      <c r="I379" s="622"/>
      <c r="J379" s="623"/>
    </row>
    <row r="380" spans="1:10" x14ac:dyDescent="0.3">
      <c r="A380" s="119" t="str">
        <f>ORÇAMENTO!A245</f>
        <v>7.106</v>
      </c>
      <c r="B380" s="12" t="str">
        <f>ORÇAMENTO!B245</f>
        <v>GOINFRA</v>
      </c>
      <c r="C380" s="13">
        <f>ORÇAMENTO!C245</f>
        <v>81882</v>
      </c>
      <c r="D380" s="52" t="str">
        <f>ORÇAMENTO!D245</f>
        <v>RES.METALICO TAÇA AÇO PATINÁVEL-V=15M3-COL.SEC.H=6M+FUNDAÇÃO+LOGOTIPO</v>
      </c>
      <c r="E380" s="153" t="str">
        <f>ORÇAMENTO!F245</f>
        <v>und.</v>
      </c>
      <c r="F380" s="578">
        <f>ORÇAMENTO!E245</f>
        <v>1</v>
      </c>
      <c r="G380" s="622"/>
      <c r="H380" s="622"/>
      <c r="I380" s="622"/>
      <c r="J380" s="623"/>
    </row>
    <row r="381" spans="1:10" x14ac:dyDescent="0.3">
      <c r="A381" s="119" t="str">
        <f>ORÇAMENTO!A246</f>
        <v>7.107</v>
      </c>
      <c r="B381" s="12" t="str">
        <f>ORÇAMENTO!B246</f>
        <v>GOINFRA</v>
      </c>
      <c r="C381" s="13">
        <f>ORÇAMENTO!C246</f>
        <v>81920</v>
      </c>
      <c r="D381" s="52" t="str">
        <f>ORÇAMENTO!D246</f>
        <v>J O E L H O S</v>
      </c>
      <c r="E381" s="153"/>
      <c r="F381" s="578"/>
      <c r="G381" s="622"/>
      <c r="H381" s="622"/>
      <c r="I381" s="622"/>
      <c r="J381" s="623"/>
    </row>
    <row r="382" spans="1:10" x14ac:dyDescent="0.3">
      <c r="A382" s="119" t="str">
        <f>ORÇAMENTO!A247</f>
        <v>7.108</v>
      </c>
      <c r="B382" s="12" t="str">
        <f>ORÇAMENTO!B247</f>
        <v>GOINFRA</v>
      </c>
      <c r="C382" s="13">
        <f>ORÇAMENTO!C247</f>
        <v>81922</v>
      </c>
      <c r="D382" s="52" t="str">
        <f>ORÇAMENTO!D247</f>
        <v>JOELHO 45 GRAUS DIAMETRO 50 MM</v>
      </c>
      <c r="E382" s="153" t="str">
        <f>ORÇAMENTO!F247</f>
        <v>und.</v>
      </c>
      <c r="F382" s="578">
        <f>ORÇAMENTO!E247</f>
        <v>3</v>
      </c>
      <c r="G382" s="622"/>
      <c r="H382" s="622"/>
      <c r="I382" s="622"/>
      <c r="J382" s="623"/>
    </row>
    <row r="383" spans="1:10" x14ac:dyDescent="0.3">
      <c r="A383" s="119" t="str">
        <f>ORÇAMENTO!A248</f>
        <v>7.109</v>
      </c>
      <c r="B383" s="12" t="str">
        <f>ORÇAMENTO!B248</f>
        <v>GOINFRA</v>
      </c>
      <c r="C383" s="13">
        <f>ORÇAMENTO!C248</f>
        <v>81927</v>
      </c>
      <c r="D383" s="52" t="str">
        <f>ORÇAMENTO!D248</f>
        <v xml:space="preserve">JOELHO 90 GRAUS C/ANEL 40 mm </v>
      </c>
      <c r="E383" s="153" t="str">
        <f>ORÇAMENTO!F248</f>
        <v>und.</v>
      </c>
      <c r="F383" s="578">
        <f>ORÇAMENTO!E248</f>
        <v>11</v>
      </c>
      <c r="G383" s="622"/>
      <c r="H383" s="622"/>
      <c r="I383" s="622"/>
      <c r="J383" s="623"/>
    </row>
    <row r="384" spans="1:10" x14ac:dyDescent="0.3">
      <c r="A384" s="119" t="str">
        <f>ORÇAMENTO!A249</f>
        <v>7.110</v>
      </c>
      <c r="B384" s="12" t="str">
        <f>ORÇAMENTO!B249</f>
        <v>GOINFRA</v>
      </c>
      <c r="C384" s="13">
        <f>ORÇAMENTO!C249</f>
        <v>81923</v>
      </c>
      <c r="D384" s="52" t="str">
        <f>ORÇAMENTO!D249</f>
        <v>JOELHO 45 GRAUS DIAMETRO 75 MM</v>
      </c>
      <c r="E384" s="153" t="str">
        <f>ORÇAMENTO!F249</f>
        <v>und.</v>
      </c>
      <c r="F384" s="578">
        <f>ORÇAMENTO!E249</f>
        <v>1</v>
      </c>
      <c r="G384" s="622"/>
      <c r="H384" s="622"/>
      <c r="I384" s="622"/>
      <c r="J384" s="623"/>
    </row>
    <row r="385" spans="1:10" x14ac:dyDescent="0.3">
      <c r="A385" s="119" t="str">
        <f>ORÇAMENTO!A250</f>
        <v>7.111</v>
      </c>
      <c r="B385" s="12" t="str">
        <f>ORÇAMENTO!B250</f>
        <v>GOINFRA</v>
      </c>
      <c r="C385" s="13">
        <f>ORÇAMENTO!C250</f>
        <v>81936</v>
      </c>
      <c r="D385" s="52" t="str">
        <f>ORÇAMENTO!D250</f>
        <v xml:space="preserve">JOELHO 90 GRAUS DIAMETRO 50 MM </v>
      </c>
      <c r="E385" s="153" t="str">
        <f>ORÇAMENTO!F250</f>
        <v>und.</v>
      </c>
      <c r="F385" s="578">
        <f>ORÇAMENTO!E250</f>
        <v>218</v>
      </c>
      <c r="G385" s="622"/>
      <c r="H385" s="622"/>
      <c r="I385" s="622"/>
      <c r="J385" s="623"/>
    </row>
    <row r="386" spans="1:10" x14ac:dyDescent="0.3">
      <c r="A386" s="119" t="str">
        <f>ORÇAMENTO!A251</f>
        <v>7.112</v>
      </c>
      <c r="B386" s="12" t="str">
        <f>ORÇAMENTO!B251</f>
        <v>GOINFRA</v>
      </c>
      <c r="C386" s="13">
        <f>ORÇAMENTO!C251</f>
        <v>81937</v>
      </c>
      <c r="D386" s="52" t="str">
        <f>ORÇAMENTO!D251</f>
        <v xml:space="preserve">JOELHO 90 GRAUS DIAMETRO 75 MM </v>
      </c>
      <c r="E386" s="153" t="str">
        <f>ORÇAMENTO!F251</f>
        <v>und.</v>
      </c>
      <c r="F386" s="578">
        <f>ORÇAMENTO!E251</f>
        <v>10</v>
      </c>
      <c r="G386" s="622"/>
      <c r="H386" s="622"/>
      <c r="I386" s="622"/>
      <c r="J386" s="623"/>
    </row>
    <row r="387" spans="1:10" x14ac:dyDescent="0.3">
      <c r="A387" s="119" t="str">
        <f>ORÇAMENTO!A252</f>
        <v>7.113</v>
      </c>
      <c r="B387" s="12" t="str">
        <f>ORÇAMENTO!B252</f>
        <v>GOINFRA</v>
      </c>
      <c r="C387" s="13">
        <f>ORÇAMENTO!C252</f>
        <v>81938</v>
      </c>
      <c r="D387" s="52" t="str">
        <f>ORÇAMENTO!D252</f>
        <v xml:space="preserve">JOELHO 90 GRAUS DIAMETRO 100 MM </v>
      </c>
      <c r="E387" s="153" t="str">
        <f>ORÇAMENTO!F252</f>
        <v>und.</v>
      </c>
      <c r="F387" s="578">
        <f>ORÇAMENTO!E252</f>
        <v>24</v>
      </c>
      <c r="G387" s="622"/>
      <c r="H387" s="622"/>
      <c r="I387" s="622"/>
      <c r="J387" s="623"/>
    </row>
    <row r="388" spans="1:10" x14ac:dyDescent="0.3">
      <c r="A388" s="119" t="str">
        <f>ORÇAMENTO!A253</f>
        <v>7.114</v>
      </c>
      <c r="B388" s="12" t="str">
        <f>ORÇAMENTO!B253</f>
        <v>GOINFRA</v>
      </c>
      <c r="C388" s="13">
        <f>ORÇAMENTO!C253</f>
        <v>81885</v>
      </c>
      <c r="D388" s="52" t="str">
        <f>ORÇAMENTO!D253</f>
        <v>TERMINAL DE VENTILACAO DIAMETRO 50 MM</v>
      </c>
      <c r="E388" s="153" t="str">
        <f>ORÇAMENTO!F253</f>
        <v>und.</v>
      </c>
      <c r="F388" s="578">
        <f>ORÇAMENTO!E253</f>
        <v>8</v>
      </c>
      <c r="G388" s="622"/>
      <c r="H388" s="622"/>
      <c r="I388" s="622"/>
      <c r="J388" s="623"/>
    </row>
    <row r="389" spans="1:10" x14ac:dyDescent="0.3">
      <c r="A389" s="119" t="str">
        <f>ORÇAMENTO!A254</f>
        <v>7.115</v>
      </c>
      <c r="B389" s="12" t="str">
        <f>ORÇAMENTO!B254</f>
        <v>GOINFRA</v>
      </c>
      <c r="C389" s="13">
        <f>ORÇAMENTO!C254</f>
        <v>81960</v>
      </c>
      <c r="D389" s="52" t="str">
        <f>ORÇAMENTO!D254</f>
        <v>J U N C O E S</v>
      </c>
      <c r="E389" s="153"/>
      <c r="F389" s="578"/>
      <c r="G389" s="622"/>
      <c r="H389" s="622"/>
      <c r="I389" s="622"/>
      <c r="J389" s="623"/>
    </row>
    <row r="390" spans="1:10" x14ac:dyDescent="0.3">
      <c r="A390" s="119" t="str">
        <f>ORÇAMENTO!A255</f>
        <v>7.116</v>
      </c>
      <c r="B390" s="12" t="str">
        <f>ORÇAMENTO!B255</f>
        <v>GOINFRA</v>
      </c>
      <c r="C390" s="13">
        <f>ORÇAMENTO!C255</f>
        <v>81970</v>
      </c>
      <c r="D390" s="52" t="str">
        <f>ORÇAMENTO!D255</f>
        <v xml:space="preserve">JUNCAO SIMPLES DIAMETRO 50 X 50 MM </v>
      </c>
      <c r="E390" s="153" t="str">
        <f>ORÇAMENTO!F255</f>
        <v>und.</v>
      </c>
      <c r="F390" s="578">
        <f>ORÇAMENTO!E255</f>
        <v>6</v>
      </c>
      <c r="G390" s="622"/>
      <c r="H390" s="622"/>
      <c r="I390" s="622"/>
      <c r="J390" s="623"/>
    </row>
    <row r="391" spans="1:10" x14ac:dyDescent="0.3">
      <c r="A391" s="119" t="str">
        <f>ORÇAMENTO!A256</f>
        <v>7.117</v>
      </c>
      <c r="B391" s="12" t="str">
        <f>ORÇAMENTO!B256</f>
        <v>GOINFRA</v>
      </c>
      <c r="C391" s="13">
        <f>ORÇAMENTO!C256</f>
        <v>81972</v>
      </c>
      <c r="D391" s="52" t="str">
        <f>ORÇAMENTO!D256</f>
        <v xml:space="preserve">JUNCAO SIMPLES DIAMETRO 75 X 75 MM </v>
      </c>
      <c r="E391" s="153" t="str">
        <f>ORÇAMENTO!F256</f>
        <v>und.</v>
      </c>
      <c r="F391" s="578">
        <f>ORÇAMENTO!E256</f>
        <v>5</v>
      </c>
      <c r="G391" s="622"/>
      <c r="H391" s="622"/>
      <c r="I391" s="622"/>
      <c r="J391" s="623"/>
    </row>
    <row r="392" spans="1:10" x14ac:dyDescent="0.3">
      <c r="A392" s="119" t="str">
        <f>ORÇAMENTO!A257</f>
        <v>7.118</v>
      </c>
      <c r="B392" s="12" t="str">
        <f>ORÇAMENTO!B257</f>
        <v>GOINFRA</v>
      </c>
      <c r="C392" s="13">
        <f>ORÇAMENTO!C257</f>
        <v>81973</v>
      </c>
      <c r="D392" s="52" t="str">
        <f>ORÇAMENTO!D257</f>
        <v xml:space="preserve">JUNCAO SIMPLES DIAM. 100 X 50 MM </v>
      </c>
      <c r="E392" s="153" t="str">
        <f>ORÇAMENTO!F257</f>
        <v>und.</v>
      </c>
      <c r="F392" s="578">
        <f>ORÇAMENTO!E257</f>
        <v>54</v>
      </c>
      <c r="G392" s="622"/>
      <c r="H392" s="622"/>
      <c r="I392" s="622"/>
      <c r="J392" s="623"/>
    </row>
    <row r="393" spans="1:10" x14ac:dyDescent="0.3">
      <c r="A393" s="119" t="str">
        <f>ORÇAMENTO!A258</f>
        <v>7.119</v>
      </c>
      <c r="B393" s="12" t="str">
        <f>ORÇAMENTO!B258</f>
        <v>GOINFRA</v>
      </c>
      <c r="C393" s="13">
        <f>ORÇAMENTO!C258</f>
        <v>81974</v>
      </c>
      <c r="D393" s="52" t="str">
        <f>ORÇAMENTO!D258</f>
        <v xml:space="preserve">JUNCAO SIMPLES DIAMETRO 100 X 75 MM </v>
      </c>
      <c r="E393" s="153" t="str">
        <f>ORÇAMENTO!F258</f>
        <v>und.</v>
      </c>
      <c r="F393" s="578">
        <f>ORÇAMENTO!E258</f>
        <v>8</v>
      </c>
      <c r="G393" s="622"/>
      <c r="H393" s="622"/>
      <c r="I393" s="622"/>
      <c r="J393" s="623"/>
    </row>
    <row r="394" spans="1:10" x14ac:dyDescent="0.3">
      <c r="A394" s="119" t="str">
        <f>ORÇAMENTO!A259</f>
        <v>7.120</v>
      </c>
      <c r="B394" s="12" t="str">
        <f>ORÇAMENTO!B259</f>
        <v>GOINFRA</v>
      </c>
      <c r="C394" s="13">
        <f>ORÇAMENTO!C259</f>
        <v>81975</v>
      </c>
      <c r="D394" s="52" t="str">
        <f>ORÇAMENTO!D259</f>
        <v xml:space="preserve">JUNCAO SIMPLES DIAM. 100 X 100 MM </v>
      </c>
      <c r="E394" s="153" t="str">
        <f>ORÇAMENTO!F259</f>
        <v>und.</v>
      </c>
      <c r="F394" s="578">
        <f>ORÇAMENTO!E259</f>
        <v>8</v>
      </c>
      <c r="G394" s="622"/>
      <c r="H394" s="622"/>
      <c r="I394" s="622"/>
      <c r="J394" s="623"/>
    </row>
    <row r="395" spans="1:10" x14ac:dyDescent="0.3">
      <c r="A395" s="119" t="str">
        <f>ORÇAMENTO!A260</f>
        <v>7.121</v>
      </c>
      <c r="B395" s="12" t="str">
        <f>ORÇAMENTO!B260</f>
        <v>GOINFRA</v>
      </c>
      <c r="C395" s="13">
        <f>ORÇAMENTO!C260</f>
        <v>82000</v>
      </c>
      <c r="D395" s="52" t="str">
        <f>ORÇAMENTO!D260</f>
        <v>L U V A S</v>
      </c>
      <c r="E395" s="153"/>
      <c r="F395" s="578"/>
      <c r="G395" s="622"/>
      <c r="H395" s="622"/>
      <c r="I395" s="622"/>
      <c r="J395" s="623"/>
    </row>
    <row r="396" spans="1:10" x14ac:dyDescent="0.3">
      <c r="A396" s="119" t="str">
        <f>ORÇAMENTO!A261</f>
        <v>7.122</v>
      </c>
      <c r="B396" s="12" t="str">
        <f>ORÇAMENTO!B261</f>
        <v>GOINFRA</v>
      </c>
      <c r="C396" s="13">
        <f>ORÇAMENTO!C261</f>
        <v>82002</v>
      </c>
      <c r="D396" s="52" t="str">
        <f>ORÇAMENTO!D261</f>
        <v>LUVA SIMPLES DIAMETRO 50 MM</v>
      </c>
      <c r="E396" s="153" t="str">
        <f>ORÇAMENTO!F261</f>
        <v>und.</v>
      </c>
      <c r="F396" s="578">
        <f>ORÇAMENTO!E261</f>
        <v>10</v>
      </c>
      <c r="G396" s="622"/>
      <c r="H396" s="622"/>
      <c r="I396" s="622"/>
      <c r="J396" s="623"/>
    </row>
    <row r="397" spans="1:10" x14ac:dyDescent="0.3">
      <c r="A397" s="119" t="str">
        <f>ORÇAMENTO!A262</f>
        <v>7.123</v>
      </c>
      <c r="B397" s="12" t="str">
        <f>ORÇAMENTO!B262</f>
        <v>GOINFRA</v>
      </c>
      <c r="C397" s="13">
        <f>ORÇAMENTO!C262</f>
        <v>82004</v>
      </c>
      <c r="D397" s="52" t="str">
        <f>ORÇAMENTO!D262</f>
        <v>LUVA SIMPLES DIAM. 100 MM</v>
      </c>
      <c r="E397" s="153" t="str">
        <f>ORÇAMENTO!F262</f>
        <v>und.</v>
      </c>
      <c r="F397" s="578">
        <f>ORÇAMENTO!E262</f>
        <v>17</v>
      </c>
      <c r="G397" s="622"/>
      <c r="H397" s="622"/>
      <c r="I397" s="622"/>
      <c r="J397" s="623"/>
    </row>
    <row r="398" spans="1:10" x14ac:dyDescent="0.3">
      <c r="A398" s="119" t="str">
        <f>ORÇAMENTO!A263</f>
        <v>7.124</v>
      </c>
      <c r="B398" s="12" t="str">
        <f>ORÇAMENTO!B263</f>
        <v>GOINFRA</v>
      </c>
      <c r="C398" s="13">
        <f>ORÇAMENTO!C263</f>
        <v>82050</v>
      </c>
      <c r="D398" s="52" t="str">
        <f>ORÇAMENTO!D263</f>
        <v>P O R T A / G R E L H A</v>
      </c>
      <c r="E398" s="153"/>
      <c r="F398" s="578"/>
      <c r="G398" s="622"/>
      <c r="H398" s="622"/>
      <c r="I398" s="622"/>
      <c r="J398" s="623"/>
    </row>
    <row r="399" spans="1:10" x14ac:dyDescent="0.3">
      <c r="A399" s="119" t="str">
        <f>ORÇAMENTO!A264</f>
        <v>7.125</v>
      </c>
      <c r="B399" s="12" t="str">
        <f>ORÇAMENTO!B264</f>
        <v>GOINFRA</v>
      </c>
      <c r="C399" s="13">
        <f>ORÇAMENTO!C264</f>
        <v>82053</v>
      </c>
      <c r="D399" s="52" t="str">
        <f>ORÇAMENTO!D264</f>
        <v>PORTA GRELHA QUADRADO P/GREL.QUADRADA DIAM. 100 MM</v>
      </c>
      <c r="E399" s="153" t="str">
        <f>ORÇAMENTO!F264</f>
        <v>und.</v>
      </c>
      <c r="F399" s="578">
        <f>ORÇAMENTO!E264</f>
        <v>1</v>
      </c>
      <c r="G399" s="622"/>
      <c r="H399" s="622"/>
      <c r="I399" s="622"/>
      <c r="J399" s="623"/>
    </row>
    <row r="400" spans="1:10" x14ac:dyDescent="0.3">
      <c r="A400" s="119" t="str">
        <f>ORÇAMENTO!A265</f>
        <v>7.126</v>
      </c>
      <c r="B400" s="12" t="str">
        <f>ORÇAMENTO!B265</f>
        <v>GOINFRA</v>
      </c>
      <c r="C400" s="13">
        <f>ORÇAMENTO!C265</f>
        <v>82100</v>
      </c>
      <c r="D400" s="52" t="str">
        <f>ORÇAMENTO!D265</f>
        <v>R E D U C O E S</v>
      </c>
      <c r="E400" s="153"/>
      <c r="F400" s="578"/>
      <c r="G400" s="622"/>
      <c r="H400" s="622"/>
      <c r="I400" s="622"/>
      <c r="J400" s="623"/>
    </row>
    <row r="401" spans="1:10" x14ac:dyDescent="0.3">
      <c r="A401" s="119" t="str">
        <f>ORÇAMENTO!A266</f>
        <v>7.127</v>
      </c>
      <c r="B401" s="12" t="str">
        <f>ORÇAMENTO!B266</f>
        <v>GOINFRA</v>
      </c>
      <c r="C401" s="13">
        <f>ORÇAMENTO!C266</f>
        <v>82101</v>
      </c>
      <c r="D401" s="52" t="str">
        <f>ORÇAMENTO!D266</f>
        <v xml:space="preserve">REDUCAO EXCENTRICA 75 X 50 MM </v>
      </c>
      <c r="E401" s="153" t="str">
        <f>ORÇAMENTO!F266</f>
        <v>und.</v>
      </c>
      <c r="F401" s="578">
        <f>ORÇAMENTO!E266</f>
        <v>5</v>
      </c>
      <c r="G401" s="622"/>
      <c r="H401" s="622"/>
      <c r="I401" s="622"/>
      <c r="J401" s="623"/>
    </row>
    <row r="402" spans="1:10" x14ac:dyDescent="0.3">
      <c r="A402" s="119" t="str">
        <f>ORÇAMENTO!A267</f>
        <v>7.128</v>
      </c>
      <c r="B402" s="12" t="str">
        <f>ORÇAMENTO!B267</f>
        <v>GOINFRA</v>
      </c>
      <c r="C402" s="13">
        <f>ORÇAMENTO!C267</f>
        <v>82103</v>
      </c>
      <c r="D402" s="52" t="str">
        <f>ORÇAMENTO!D267</f>
        <v xml:space="preserve">REDUCAO EXCENTRICA 100 X 50 MM </v>
      </c>
      <c r="E402" s="153" t="str">
        <f>ORÇAMENTO!F267</f>
        <v>und.</v>
      </c>
      <c r="F402" s="578">
        <f>ORÇAMENTO!E267</f>
        <v>16</v>
      </c>
      <c r="G402" s="622"/>
      <c r="H402" s="622"/>
      <c r="I402" s="622"/>
      <c r="J402" s="623"/>
    </row>
    <row r="403" spans="1:10" x14ac:dyDescent="0.3">
      <c r="A403" s="119" t="str">
        <f>ORÇAMENTO!A268</f>
        <v>7.129</v>
      </c>
      <c r="B403" s="12" t="str">
        <f>ORÇAMENTO!B268</f>
        <v>GOINFRA</v>
      </c>
      <c r="C403" s="13">
        <f>ORÇAMENTO!C268</f>
        <v>82200</v>
      </c>
      <c r="D403" s="52" t="str">
        <f>ORÇAMENTO!D268</f>
        <v>T E</v>
      </c>
      <c r="E403" s="153"/>
      <c r="F403" s="578"/>
      <c r="G403" s="622"/>
      <c r="H403" s="622"/>
      <c r="I403" s="622"/>
      <c r="J403" s="623"/>
    </row>
    <row r="404" spans="1:10" x14ac:dyDescent="0.3">
      <c r="A404" s="119" t="str">
        <f>ORÇAMENTO!A269</f>
        <v>7.130</v>
      </c>
      <c r="B404" s="12" t="str">
        <f>ORÇAMENTO!B269</f>
        <v>GOINFRA</v>
      </c>
      <c r="C404" s="13">
        <f>ORÇAMENTO!C269</f>
        <v>82230</v>
      </c>
      <c r="D404" s="52" t="str">
        <f>ORÇAMENTO!D269</f>
        <v xml:space="preserve">TE SANITARIO DIAMETRO 50 X 50 MM </v>
      </c>
      <c r="E404" s="153" t="str">
        <f>ORÇAMENTO!F269</f>
        <v>und.</v>
      </c>
      <c r="F404" s="578">
        <f>ORÇAMENTO!E269</f>
        <v>121</v>
      </c>
      <c r="G404" s="622"/>
      <c r="H404" s="622"/>
      <c r="I404" s="622"/>
      <c r="J404" s="623"/>
    </row>
    <row r="405" spans="1:10" x14ac:dyDescent="0.3">
      <c r="A405" s="119" t="str">
        <f>ORÇAMENTO!A270</f>
        <v>7.131</v>
      </c>
      <c r="B405" s="12" t="str">
        <f>ORÇAMENTO!B270</f>
        <v>GOINFRA</v>
      </c>
      <c r="C405" s="13">
        <f>ORÇAMENTO!C270</f>
        <v>82231</v>
      </c>
      <c r="D405" s="52" t="str">
        <f>ORÇAMENTO!D270</f>
        <v>TE SANITARIO DIAMETRO 75 X 50 MM</v>
      </c>
      <c r="E405" s="153" t="str">
        <f>ORÇAMENTO!F270</f>
        <v>und.</v>
      </c>
      <c r="F405" s="578">
        <f>ORÇAMENTO!E270</f>
        <v>10</v>
      </c>
      <c r="G405" s="622"/>
      <c r="H405" s="622"/>
      <c r="I405" s="622"/>
      <c r="J405" s="623"/>
    </row>
    <row r="406" spans="1:10" x14ac:dyDescent="0.3">
      <c r="A406" s="119" t="str">
        <f>ORÇAMENTO!A271</f>
        <v>7.132</v>
      </c>
      <c r="B406" s="12" t="str">
        <f>ORÇAMENTO!B271</f>
        <v>GOINFRA</v>
      </c>
      <c r="C406" s="13">
        <f>ORÇAMENTO!C271</f>
        <v>82233</v>
      </c>
      <c r="D406" s="52" t="str">
        <f>ORÇAMENTO!D271</f>
        <v>TE SANITARIO DIAMETRO 100 X 50 MM</v>
      </c>
      <c r="E406" s="153" t="str">
        <f>ORÇAMENTO!F271</f>
        <v>und.</v>
      </c>
      <c r="F406" s="578">
        <f>ORÇAMENTO!E271</f>
        <v>11</v>
      </c>
      <c r="G406" s="622"/>
      <c r="H406" s="622"/>
      <c r="I406" s="622"/>
      <c r="J406" s="623"/>
    </row>
    <row r="407" spans="1:10" x14ac:dyDescent="0.3">
      <c r="A407" s="119" t="str">
        <f>ORÇAMENTO!A272</f>
        <v>7.133</v>
      </c>
      <c r="B407" s="12" t="str">
        <f>ORÇAMENTO!B272</f>
        <v>GOINFRA</v>
      </c>
      <c r="C407" s="13">
        <f>ORÇAMENTO!C272</f>
        <v>82300</v>
      </c>
      <c r="D407" s="52" t="str">
        <f>ORÇAMENTO!D272</f>
        <v>T U B O S</v>
      </c>
      <c r="E407" s="153"/>
      <c r="F407" s="578"/>
      <c r="G407" s="622"/>
      <c r="H407" s="622"/>
      <c r="I407" s="622"/>
      <c r="J407" s="623"/>
    </row>
    <row r="408" spans="1:10" x14ac:dyDescent="0.3">
      <c r="A408" s="119" t="str">
        <f>ORÇAMENTO!A273</f>
        <v>7.134</v>
      </c>
      <c r="B408" s="12" t="str">
        <f>ORÇAMENTO!B273</f>
        <v>GOINFRA</v>
      </c>
      <c r="C408" s="13">
        <f>ORÇAMENTO!C273</f>
        <v>82301</v>
      </c>
      <c r="D408" s="52" t="str">
        <f>ORÇAMENTO!D273</f>
        <v xml:space="preserve">TUBO SOLD.P/ESGOTO DIAM. 40 MM </v>
      </c>
      <c r="E408" s="153" t="str">
        <f>ORÇAMENTO!F273</f>
        <v xml:space="preserve">m </v>
      </c>
      <c r="F408" s="578">
        <f>ORÇAMENTO!E273</f>
        <v>16.100000000000001</v>
      </c>
      <c r="G408" s="622"/>
      <c r="H408" s="622"/>
      <c r="I408" s="622"/>
      <c r="J408" s="623"/>
    </row>
    <row r="409" spans="1:10" x14ac:dyDescent="0.3">
      <c r="A409" s="119" t="str">
        <f>ORÇAMENTO!A274</f>
        <v>7.135</v>
      </c>
      <c r="B409" s="12" t="str">
        <f>ORÇAMENTO!B274</f>
        <v>GOINFRA</v>
      </c>
      <c r="C409" s="13">
        <f>ORÇAMENTO!C274</f>
        <v>82302</v>
      </c>
      <c r="D409" s="52" t="str">
        <f>ORÇAMENTO!D274</f>
        <v xml:space="preserve"> TUBO SOLD. P/ESGOTO DIAM. 50 MM </v>
      </c>
      <c r="E409" s="153" t="str">
        <f>ORÇAMENTO!F274</f>
        <v>m</v>
      </c>
      <c r="F409" s="578">
        <f>ORÇAMENTO!E274</f>
        <v>363</v>
      </c>
      <c r="G409" s="622"/>
      <c r="H409" s="622"/>
      <c r="I409" s="622"/>
      <c r="J409" s="623"/>
    </row>
    <row r="410" spans="1:10" x14ac:dyDescent="0.3">
      <c r="A410" s="119" t="str">
        <f>ORÇAMENTO!A275</f>
        <v>7.136</v>
      </c>
      <c r="B410" s="12" t="str">
        <f>ORÇAMENTO!B275</f>
        <v>GOINFRA</v>
      </c>
      <c r="C410" s="13">
        <f>ORÇAMENTO!C275</f>
        <v>82303</v>
      </c>
      <c r="D410" s="52" t="str">
        <f>ORÇAMENTO!D275</f>
        <v xml:space="preserve">TUBO SOLDAVEL P/ESGOTO DIAM.75 MM </v>
      </c>
      <c r="E410" s="153" t="str">
        <f>ORÇAMENTO!F275</f>
        <v>m</v>
      </c>
      <c r="F410" s="578">
        <f>ORÇAMENTO!E275</f>
        <v>35.6</v>
      </c>
      <c r="G410" s="622"/>
      <c r="H410" s="622"/>
      <c r="I410" s="622"/>
      <c r="J410" s="623"/>
    </row>
    <row r="411" spans="1:10" x14ac:dyDescent="0.3">
      <c r="A411" s="119" t="str">
        <f>ORÇAMENTO!A276</f>
        <v>7.137</v>
      </c>
      <c r="B411" s="12" t="str">
        <f>ORÇAMENTO!B276</f>
        <v>GOINFRA</v>
      </c>
      <c r="C411" s="13">
        <f>ORÇAMENTO!C276</f>
        <v>82304</v>
      </c>
      <c r="D411" s="52" t="str">
        <f>ORÇAMENTO!D276</f>
        <v xml:space="preserve">TUBO SOLDAVEL P/ESGOTO DIAM. 100 MM </v>
      </c>
      <c r="E411" s="153" t="str">
        <f>ORÇAMENTO!F276</f>
        <v>m</v>
      </c>
      <c r="F411" s="578">
        <f>ORÇAMENTO!E276</f>
        <v>205.1</v>
      </c>
      <c r="G411" s="622"/>
      <c r="H411" s="622"/>
      <c r="I411" s="622"/>
      <c r="J411" s="623"/>
    </row>
    <row r="412" spans="1:10" ht="43.2" x14ac:dyDescent="0.3">
      <c r="A412" s="119" t="str">
        <f>ORÇAMENTO!A277</f>
        <v>7.138</v>
      </c>
      <c r="B412" s="12" t="str">
        <f>ORÇAMENTO!B277</f>
        <v>SINAPI</v>
      </c>
      <c r="C412" s="13">
        <f>ORÇAMENTO!C277</f>
        <v>98052</v>
      </c>
      <c r="D412" s="52" t="str">
        <f>ORÇAMENTO!D277</f>
        <v>TANQUE SÉPTICO CIRCULAR, EM CONCRETO PRÉ-MOLDADO, DIÂMETRO INTERNO = 1,10 M, ALTURA INTERNA = 2,50 M, VOLUME ÚTIL: 2138,2 L (PARA 5 CONTRIBU
INTES). AF_12/2020</v>
      </c>
      <c r="E412" s="153" t="str">
        <f>ORÇAMENTO!F277</f>
        <v>und.</v>
      </c>
      <c r="F412" s="578">
        <f>ORÇAMENTO!E277</f>
        <v>1</v>
      </c>
      <c r="G412" s="622"/>
      <c r="H412" s="622"/>
      <c r="I412" s="622"/>
      <c r="J412" s="623"/>
    </row>
    <row r="413" spans="1:10" ht="43.2" x14ac:dyDescent="0.3">
      <c r="A413" s="119" t="str">
        <f>ORÇAMENTO!A278</f>
        <v>7.139</v>
      </c>
      <c r="B413" s="12" t="str">
        <f>ORÇAMENTO!B278</f>
        <v>SINAPI</v>
      </c>
      <c r="C413" s="13">
        <f>ORÇAMENTO!C278</f>
        <v>98054</v>
      </c>
      <c r="D413" s="52" t="str">
        <f>ORÇAMENTO!D278</f>
        <v>TANQUE SÉPTICO CIRCULAR, EM CONCRETO PRÉ-MOLDADO, DIÂMETRO INTERNO = 1,88 M, ALTURA INTERNA = 2,50 M, VOLUME ÚTIL: 6245,8 L (PARA 32 CONTRIB
UINTES). AF_12/2020</v>
      </c>
      <c r="E413" s="153" t="str">
        <f>ORÇAMENTO!F278</f>
        <v>und.</v>
      </c>
      <c r="F413" s="578">
        <f>ORÇAMENTO!E278</f>
        <v>3</v>
      </c>
      <c r="G413" s="622"/>
      <c r="H413" s="622"/>
      <c r="I413" s="622"/>
      <c r="J413" s="623"/>
    </row>
    <row r="414" spans="1:10" ht="43.2" x14ac:dyDescent="0.3">
      <c r="A414" s="119" t="str">
        <f>ORÇAMENTO!A279</f>
        <v>7.140</v>
      </c>
      <c r="B414" s="12" t="str">
        <f>ORÇAMENTO!B279</f>
        <v>SINAPI</v>
      </c>
      <c r="C414" s="13">
        <f>ORÇAMENTO!C279</f>
        <v>98056</v>
      </c>
      <c r="D414" s="52" t="str">
        <f>ORÇAMENTO!D279</f>
        <v>TANQUE SÉPTICO CIRCULAR, EM CONCRETO PRÉ-MOLDADO, DIÂMETRO INTERNO = 2,38 M, ALTURA INTERNA = 3,0 M, VOLUME ÚTIL: 12234,2 L (PARA 86 CONTRIB
UINTES). AF_12/2020</v>
      </c>
      <c r="E414" s="153" t="str">
        <f>ORÇAMENTO!F279</f>
        <v>und.</v>
      </c>
      <c r="F414" s="578">
        <f>ORÇAMENTO!E279</f>
        <v>1</v>
      </c>
      <c r="G414" s="622"/>
      <c r="H414" s="622"/>
      <c r="I414" s="622"/>
      <c r="J414" s="623"/>
    </row>
    <row r="415" spans="1:10" ht="43.2" x14ac:dyDescent="0.3">
      <c r="A415" s="119" t="str">
        <f>ORÇAMENTO!A280</f>
        <v>7.141</v>
      </c>
      <c r="B415" s="12" t="str">
        <f>ORÇAMENTO!B280</f>
        <v>SINAPI</v>
      </c>
      <c r="C415" s="13">
        <f>ORÇAMENTO!C280</f>
        <v>98053</v>
      </c>
      <c r="D415" s="52" t="str">
        <f>ORÇAMENTO!D280</f>
        <v>TANQUE SÉPTICO CIRCULAR, EM CONCRETO PRÉ-MOLDADO, DIÂMETRO INTERNO = 1,40 M, ALTURA INTERNA = 2,50 M, VOLUME ÚTIL: 3463,6 L (PARA 13 CONTRIB
UINTES). AF_12/2020</v>
      </c>
      <c r="E415" s="153" t="str">
        <f>ORÇAMENTO!F280</f>
        <v>und.</v>
      </c>
      <c r="F415" s="578">
        <f>ORÇAMENTO!E280</f>
        <v>1</v>
      </c>
      <c r="G415" s="622"/>
      <c r="H415" s="622"/>
      <c r="I415" s="622"/>
      <c r="J415" s="623"/>
    </row>
    <row r="416" spans="1:10" ht="43.2" x14ac:dyDescent="0.3">
      <c r="A416" s="119" t="str">
        <f>ORÇAMENTO!A281</f>
        <v>7.142</v>
      </c>
      <c r="B416" s="12" t="str">
        <f>ORÇAMENTO!B281</f>
        <v>SINAPI</v>
      </c>
      <c r="C416" s="13">
        <f>ORÇAMENTO!C281</f>
        <v>98055</v>
      </c>
      <c r="D416" s="52" t="str">
        <f>ORÇAMENTO!D281</f>
        <v>TANQUE SÉPTICO CIRCULAR, EM CONCRETO PRÉ-MOLDADO, DIÂMETRO INTERNO = 2,38 M, ALTURA INTERNA = 2,50 M, VOLUME ÚTIL: 10009,8 L (PARA 69 CONTRI
BUINTES). AF_12/2020</v>
      </c>
      <c r="E416" s="153" t="str">
        <f>ORÇAMENTO!F281</f>
        <v>und.</v>
      </c>
      <c r="F416" s="578">
        <f>ORÇAMENTO!E281</f>
        <v>1</v>
      </c>
      <c r="G416" s="622"/>
      <c r="H416" s="622"/>
      <c r="I416" s="622"/>
      <c r="J416" s="623"/>
    </row>
    <row r="417" spans="1:10" ht="43.2" x14ac:dyDescent="0.3">
      <c r="A417" s="119" t="str">
        <f>ORÇAMENTO!A282</f>
        <v>7.143</v>
      </c>
      <c r="B417" s="12" t="str">
        <f>ORÇAMENTO!B282</f>
        <v>SINAPI</v>
      </c>
      <c r="C417" s="13">
        <f>ORÇAMENTO!C282</f>
        <v>98063</v>
      </c>
      <c r="D417" s="52" t="str">
        <f>ORÇAMENTO!D282</f>
        <v>SUMIDOURO CIRCULAR, EM CONCRETO PRÉ-MOLDADO, DIÂMETRO INTERNO = 2,38 M, ALTURA INTERNA = 2,50 M, ÁREA DE INFILTRAÇÃO: 21,3 M² (PARA 8 CONTRI
BUINTES). AF_12/2020</v>
      </c>
      <c r="E417" s="153" t="str">
        <f>ORÇAMENTO!F282</f>
        <v>und.</v>
      </c>
      <c r="F417" s="578">
        <f>ORÇAMENTO!E282</f>
        <v>3</v>
      </c>
      <c r="G417" s="622"/>
      <c r="H417" s="622"/>
      <c r="I417" s="622"/>
      <c r="J417" s="623"/>
    </row>
    <row r="418" spans="1:10" ht="43.2" x14ac:dyDescent="0.3">
      <c r="A418" s="119" t="str">
        <f>ORÇAMENTO!A283</f>
        <v>7.144</v>
      </c>
      <c r="B418" s="12" t="str">
        <f>ORÇAMENTO!B283</f>
        <v>SINAPI</v>
      </c>
      <c r="C418" s="13">
        <f>ORÇAMENTO!C283</f>
        <v>98064</v>
      </c>
      <c r="D418" s="52" t="str">
        <f>ORÇAMENTO!D283</f>
        <v>SUMIDOURO CIRCULAR, EM CONCRETO PRÉ-MOLDADO, DIÂMETRO INTERNO = 2,38 M, ALTURA INTERNA = 3,0 M, ÁREA DE INFILTRAÇÃO: 25 M² (PARA 10 CONTRIBU
INTES). AF_12/2020</v>
      </c>
      <c r="E418" s="153" t="str">
        <f>ORÇAMENTO!F283</f>
        <v>und.</v>
      </c>
      <c r="F418" s="578">
        <f>ORÇAMENTO!E283</f>
        <v>2</v>
      </c>
      <c r="G418" s="622"/>
      <c r="H418" s="622"/>
      <c r="I418" s="622"/>
      <c r="J418" s="623"/>
    </row>
    <row r="419" spans="1:10" ht="43.2" x14ac:dyDescent="0.3">
      <c r="A419" s="119" t="str">
        <f>ORÇAMENTO!A284</f>
        <v>7.145</v>
      </c>
      <c r="B419" s="12" t="str">
        <f>ORÇAMENTO!B284</f>
        <v>SINAPI</v>
      </c>
      <c r="C419" s="13">
        <f>ORÇAMENTO!C284</f>
        <v>98065</v>
      </c>
      <c r="D419" s="52" t="str">
        <f>ORÇAMENTO!D284</f>
        <v>SUMIDOURO CIRCULAR, EM CONCRETO PRÉ-MOLDADO, DIÂMETRO INTERNO = 2,88 M, ALTURA INTERNA = 3,0 M, ÁREA DE INFILTRAÇÃO: 31,4 M² (PARA 12 CONTRI
BUINTES). AF_12/2020</v>
      </c>
      <c r="E419" s="153" t="str">
        <f>ORÇAMENTO!F284</f>
        <v>und.</v>
      </c>
      <c r="F419" s="578">
        <f>ORÇAMENTO!E284</f>
        <v>1</v>
      </c>
      <c r="G419" s="622"/>
      <c r="H419" s="622"/>
      <c r="I419" s="622"/>
      <c r="J419" s="623"/>
    </row>
    <row r="420" spans="1:10" ht="15" thickBot="1" x14ac:dyDescent="0.35">
      <c r="A420" s="319" t="str">
        <f>ORÇAMENTO!A285</f>
        <v>7.146</v>
      </c>
      <c r="B420" s="320" t="str">
        <f>ORÇAMENTO!B285</f>
        <v>GOINFRA</v>
      </c>
      <c r="C420" s="252">
        <f>ORÇAMENTO!C285</f>
        <v>81874</v>
      </c>
      <c r="D420" s="322" t="str">
        <f>ORÇAMENTO!D285</f>
        <v>SUMIDOURO COM DIÂMETRO=1,60M E PROFUNDIDADE=4,50 M</v>
      </c>
      <c r="E420" s="323" t="str">
        <f>ORÇAMENTO!F285</f>
        <v>und.</v>
      </c>
      <c r="F420" s="678">
        <f>ORÇAMENTO!E285</f>
        <v>1</v>
      </c>
      <c r="G420" s="679"/>
      <c r="H420" s="679"/>
      <c r="I420" s="679"/>
      <c r="J420" s="680"/>
    </row>
    <row r="421" spans="1:10" ht="15" thickBot="1" x14ac:dyDescent="0.35">
      <c r="A421" s="582" t="str">
        <f>ORÇAMENTO!A287</f>
        <v>GRUPO DE SERVIÇO: 171 - INSTALAÇÕES ESPECIAIS</v>
      </c>
      <c r="B421" s="583"/>
      <c r="C421" s="583"/>
      <c r="D421" s="583"/>
      <c r="E421" s="583"/>
      <c r="F421" s="583"/>
      <c r="G421" s="583"/>
      <c r="H421" s="583"/>
      <c r="I421" s="583"/>
      <c r="J421" s="584"/>
    </row>
    <row r="422" spans="1:10" x14ac:dyDescent="0.3">
      <c r="A422" s="309">
        <f>ORÇAMENTO!A288</f>
        <v>8</v>
      </c>
      <c r="B422" s="310" t="str">
        <f>ORÇAMENTO!B288</f>
        <v>GOINFRA</v>
      </c>
      <c r="C422" s="311">
        <f>ORÇAMENTO!C288</f>
        <v>90000</v>
      </c>
      <c r="D422" s="624" t="str">
        <f>ORÇAMENTO!D288</f>
        <v>INSTALACOES ESPECIAIS</v>
      </c>
      <c r="E422" s="625"/>
      <c r="F422" s="625"/>
      <c r="G422" s="625"/>
      <c r="H422" s="625"/>
      <c r="I422" s="625"/>
      <c r="J422" s="626"/>
    </row>
    <row r="423" spans="1:10" ht="15" thickBot="1" x14ac:dyDescent="0.35">
      <c r="A423" s="319" t="str">
        <f>ORÇAMENTO!A289</f>
        <v>8.1</v>
      </c>
      <c r="B423" s="324" t="str">
        <f>ORÇAMENTO!B289</f>
        <v>GOINFRA</v>
      </c>
      <c r="C423" s="325">
        <f>ORÇAMENTO!C289</f>
        <v>91007</v>
      </c>
      <c r="D423" s="326" t="str">
        <f>ORÇAMENTO!D289</f>
        <v>CENTRAL DE GÁS PADRÃO GOINFRA SEM INSTALAÇÕES (1+1 CILINDRO 45 KG)</v>
      </c>
      <c r="E423" s="252" t="str">
        <f>ORÇAMENTO!F289</f>
        <v>und.</v>
      </c>
      <c r="F423" s="627">
        <v>2</v>
      </c>
      <c r="G423" s="628"/>
      <c r="H423" s="628"/>
      <c r="I423" s="628"/>
      <c r="J423" s="629"/>
    </row>
    <row r="424" spans="1:10" ht="15" thickBot="1" x14ac:dyDescent="0.35">
      <c r="A424" s="582" t="s">
        <v>32</v>
      </c>
      <c r="B424" s="583"/>
      <c r="C424" s="583"/>
      <c r="D424" s="583"/>
      <c r="E424" s="583"/>
      <c r="F424" s="583"/>
      <c r="G424" s="583"/>
      <c r="H424" s="583"/>
      <c r="I424" s="583"/>
      <c r="J424" s="584"/>
    </row>
    <row r="425" spans="1:10" x14ac:dyDescent="0.3">
      <c r="A425" s="309">
        <v>9</v>
      </c>
      <c r="B425" s="310" t="s">
        <v>11</v>
      </c>
      <c r="C425" s="311">
        <v>100000</v>
      </c>
      <c r="D425" s="624" t="s">
        <v>33</v>
      </c>
      <c r="E425" s="625"/>
      <c r="F425" s="625"/>
      <c r="G425" s="625"/>
      <c r="H425" s="625"/>
      <c r="I425" s="625"/>
      <c r="J425" s="312"/>
    </row>
    <row r="426" spans="1:10" x14ac:dyDescent="0.3">
      <c r="A426" s="119" t="str">
        <f>ORÇAMENTO!A293</f>
        <v>9.1</v>
      </c>
      <c r="B426" s="12" t="str">
        <f>ORÇAMENTO!B293</f>
        <v>GOINFRA</v>
      </c>
      <c r="C426" s="13">
        <f>ORÇAMENTO!C293</f>
        <v>100155</v>
      </c>
      <c r="D426" s="52" t="str">
        <f>ORÇAMENTO!D293</f>
        <v>ALVENARIA DE TIJOLO FURADO 1/2 VEZ 11,5 X 19 X 19 - ARG. ( 1 CALH:4ARML + 100 KG DECI/M3)</v>
      </c>
      <c r="E426" s="13" t="str">
        <f>ORÇAMENTO!F293</f>
        <v xml:space="preserve">m2 </v>
      </c>
      <c r="F426" s="565" t="s">
        <v>71</v>
      </c>
      <c r="G426" s="567"/>
      <c r="H426" s="565" t="s">
        <v>79</v>
      </c>
      <c r="I426" s="567"/>
      <c r="J426" s="62" t="s">
        <v>65</v>
      </c>
    </row>
    <row r="427" spans="1:10" x14ac:dyDescent="0.3">
      <c r="A427" s="119"/>
      <c r="B427" s="12"/>
      <c r="C427" s="13"/>
      <c r="D427" s="232" t="s">
        <v>595</v>
      </c>
      <c r="E427" s="233"/>
      <c r="F427" s="591" t="s">
        <v>596</v>
      </c>
      <c r="G427" s="592"/>
      <c r="H427" s="602">
        <v>6.03</v>
      </c>
      <c r="I427" s="603"/>
      <c r="J427" s="174">
        <f>((386.82*2)+(96.48*2)+(96*15)+(3.85*7))*H427</f>
        <v>14674.306499999999</v>
      </c>
    </row>
    <row r="428" spans="1:10" x14ac:dyDescent="0.3">
      <c r="A428" s="119"/>
      <c r="B428" s="12"/>
      <c r="C428" s="13"/>
      <c r="D428" s="173" t="s">
        <v>602</v>
      </c>
      <c r="E428" s="233"/>
      <c r="F428" s="591" t="s">
        <v>597</v>
      </c>
      <c r="G428" s="592"/>
      <c r="H428" s="602">
        <v>2.7</v>
      </c>
      <c r="I428" s="603"/>
      <c r="J428" s="174">
        <f>-(3.85*32)*H428</f>
        <v>-332.64000000000004</v>
      </c>
    </row>
    <row r="429" spans="1:10" x14ac:dyDescent="0.3">
      <c r="A429" s="119"/>
      <c r="B429" s="12"/>
      <c r="C429" s="13"/>
      <c r="D429" s="232" t="s">
        <v>599</v>
      </c>
      <c r="E429" s="233"/>
      <c r="F429" s="591" t="s">
        <v>598</v>
      </c>
      <c r="G429" s="592"/>
      <c r="H429" s="602">
        <v>3</v>
      </c>
      <c r="I429" s="603"/>
      <c r="J429" s="174">
        <f>(66.45+(4.5*5)+2.25+7.85+(3.27*3)+46.4+ (4.5*5)+3.94+3.86+0.85)*H429</f>
        <v>559.23</v>
      </c>
    </row>
    <row r="430" spans="1:10" x14ac:dyDescent="0.3">
      <c r="A430" s="119"/>
      <c r="B430" s="12"/>
      <c r="C430" s="13"/>
      <c r="D430" s="232" t="s">
        <v>600</v>
      </c>
      <c r="E430" s="233"/>
      <c r="F430" s="591" t="s">
        <v>601</v>
      </c>
      <c r="G430" s="592"/>
      <c r="H430" s="602">
        <v>1</v>
      </c>
      <c r="I430" s="603"/>
      <c r="J430" s="174">
        <f>(66.45+46.4)*H430</f>
        <v>112.85</v>
      </c>
    </row>
    <row r="431" spans="1:10" x14ac:dyDescent="0.3">
      <c r="A431" s="119"/>
      <c r="B431" s="12"/>
      <c r="C431" s="13"/>
      <c r="D431" s="173" t="s">
        <v>603</v>
      </c>
      <c r="E431" s="233"/>
      <c r="F431" s="591" t="s">
        <v>604</v>
      </c>
      <c r="G431" s="592"/>
      <c r="H431" s="602">
        <v>2.1</v>
      </c>
      <c r="I431" s="603"/>
      <c r="J431" s="174">
        <f>-(0.8*16)*H431</f>
        <v>-26.880000000000003</v>
      </c>
    </row>
    <row r="432" spans="1:10" x14ac:dyDescent="0.3">
      <c r="A432" s="119"/>
      <c r="B432" s="12"/>
      <c r="C432" s="13"/>
      <c r="D432" s="173" t="s">
        <v>605</v>
      </c>
      <c r="E432" s="233"/>
      <c r="F432" s="591">
        <v>2.4</v>
      </c>
      <c r="G432" s="592"/>
      <c r="H432" s="602">
        <v>2.1</v>
      </c>
      <c r="I432" s="603"/>
      <c r="J432" s="174">
        <f>-F432*H432</f>
        <v>-5.04</v>
      </c>
    </row>
    <row r="433" spans="1:10" x14ac:dyDescent="0.3">
      <c r="A433" s="119"/>
      <c r="B433" s="12"/>
      <c r="C433" s="13"/>
      <c r="D433" s="173" t="s">
        <v>317</v>
      </c>
      <c r="E433" s="233"/>
      <c r="F433" s="591" t="s">
        <v>606</v>
      </c>
      <c r="G433" s="592"/>
      <c r="H433" s="602">
        <v>1</v>
      </c>
      <c r="I433" s="603"/>
      <c r="J433" s="174">
        <f>-(((1.5*3)+(2.1*4)+(2.9*2))*H433)</f>
        <v>-18.7</v>
      </c>
    </row>
    <row r="434" spans="1:10" x14ac:dyDescent="0.3">
      <c r="A434" s="119"/>
      <c r="B434" s="12"/>
      <c r="C434" s="13"/>
      <c r="D434" s="173" t="s">
        <v>317</v>
      </c>
      <c r="E434" s="233"/>
      <c r="F434" s="591" t="s">
        <v>607</v>
      </c>
      <c r="G434" s="592"/>
      <c r="H434" s="602">
        <v>0.6</v>
      </c>
      <c r="I434" s="603"/>
      <c r="J434" s="174">
        <f>-(((0.6*9)+(2.1*2)+1.5)*H434)</f>
        <v>-6.6599999999999993</v>
      </c>
    </row>
    <row r="435" spans="1:10" x14ac:dyDescent="0.3">
      <c r="A435" s="119"/>
      <c r="B435" s="12"/>
      <c r="C435" s="13"/>
      <c r="D435" s="232" t="s">
        <v>608</v>
      </c>
      <c r="E435" s="233"/>
      <c r="F435" s="591">
        <v>29.2</v>
      </c>
      <c r="G435" s="592"/>
      <c r="H435" s="602">
        <v>3</v>
      </c>
      <c r="I435" s="603"/>
      <c r="J435" s="174">
        <f>F435*H435</f>
        <v>87.6</v>
      </c>
    </row>
    <row r="436" spans="1:10" x14ac:dyDescent="0.3">
      <c r="A436" s="119"/>
      <c r="B436" s="12"/>
      <c r="C436" s="13"/>
      <c r="D436" s="232" t="s">
        <v>613</v>
      </c>
      <c r="E436" s="233"/>
      <c r="F436" s="591" t="s">
        <v>609</v>
      </c>
      <c r="G436" s="592"/>
      <c r="H436" s="602">
        <v>0.8</v>
      </c>
      <c r="I436" s="603"/>
      <c r="J436" s="174">
        <f>(29.2+17.3)*H436</f>
        <v>37.200000000000003</v>
      </c>
    </row>
    <row r="437" spans="1:10" x14ac:dyDescent="0.3">
      <c r="A437" s="119"/>
      <c r="B437" s="12"/>
      <c r="C437" s="13"/>
      <c r="D437" s="173" t="s">
        <v>318</v>
      </c>
      <c r="E437" s="233"/>
      <c r="F437" s="591" t="s">
        <v>610</v>
      </c>
      <c r="G437" s="592"/>
      <c r="H437" s="602">
        <v>2.1</v>
      </c>
      <c r="I437" s="603"/>
      <c r="J437" s="174">
        <f>-(2+1.5)*2.1</f>
        <v>-7.3500000000000005</v>
      </c>
    </row>
    <row r="438" spans="1:10" x14ac:dyDescent="0.3">
      <c r="A438" s="119"/>
      <c r="B438" s="12"/>
      <c r="C438" s="13"/>
      <c r="D438" s="232" t="s">
        <v>611</v>
      </c>
      <c r="E438" s="233" t="s">
        <v>466</v>
      </c>
      <c r="F438" s="591" t="s">
        <v>614</v>
      </c>
      <c r="G438" s="592"/>
      <c r="H438" s="602">
        <v>2.7</v>
      </c>
      <c r="I438" s="603"/>
      <c r="J438" s="174">
        <f>(13+6+3.5+3.5+1.55)*H438</f>
        <v>74.385000000000005</v>
      </c>
    </row>
    <row r="439" spans="1:10" x14ac:dyDescent="0.3">
      <c r="A439" s="119"/>
      <c r="B439" s="12"/>
      <c r="C439" s="13"/>
      <c r="D439" s="232" t="s">
        <v>612</v>
      </c>
      <c r="E439" s="233"/>
      <c r="F439" s="591">
        <v>13</v>
      </c>
      <c r="G439" s="592"/>
      <c r="H439" s="602">
        <v>0.8</v>
      </c>
      <c r="I439" s="603"/>
      <c r="J439" s="174">
        <f>F439*H439</f>
        <v>10.4</v>
      </c>
    </row>
    <row r="440" spans="1:10" x14ac:dyDescent="0.3">
      <c r="A440" s="162"/>
      <c r="B440" s="59"/>
      <c r="C440" s="60"/>
      <c r="D440" s="234" t="s">
        <v>616</v>
      </c>
      <c r="E440" s="235"/>
      <c r="F440" s="591" t="s">
        <v>615</v>
      </c>
      <c r="G440" s="592"/>
      <c r="H440" s="602">
        <v>2.1</v>
      </c>
      <c r="I440" s="603"/>
      <c r="J440" s="174">
        <f>-(1.35+(0.8*2)+0.7)*H440</f>
        <v>-7.6650000000000009</v>
      </c>
    </row>
    <row r="441" spans="1:10" x14ac:dyDescent="0.3">
      <c r="A441" s="119"/>
      <c r="B441" s="12"/>
      <c r="C441" s="13"/>
      <c r="D441" s="173" t="s">
        <v>617</v>
      </c>
      <c r="E441" s="233"/>
      <c r="F441" s="591" t="s">
        <v>618</v>
      </c>
      <c r="G441" s="592"/>
      <c r="H441" s="602">
        <v>1</v>
      </c>
      <c r="I441" s="603"/>
      <c r="J441" s="174">
        <f>-(1.5*(0.7*2))*H441</f>
        <v>-2.0999999999999996</v>
      </c>
    </row>
    <row r="442" spans="1:10" x14ac:dyDescent="0.3">
      <c r="A442" s="119"/>
      <c r="B442" s="12"/>
      <c r="C442" s="13"/>
      <c r="D442" s="173" t="s">
        <v>698</v>
      </c>
      <c r="E442" s="233"/>
      <c r="F442" s="591" t="s">
        <v>699</v>
      </c>
      <c r="G442" s="592"/>
      <c r="H442" s="602">
        <v>1</v>
      </c>
      <c r="I442" s="603"/>
      <c r="J442" s="174">
        <f>((4.62*4)+(84.23*1.1*2))</f>
        <v>203.786</v>
      </c>
    </row>
    <row r="443" spans="1:10" ht="15" thickBot="1" x14ac:dyDescent="0.35">
      <c r="A443" s="559" t="s">
        <v>58</v>
      </c>
      <c r="B443" s="560"/>
      <c r="C443" s="560"/>
      <c r="D443" s="560"/>
      <c r="E443" s="560"/>
      <c r="F443" s="560"/>
      <c r="G443" s="560"/>
      <c r="H443" s="560"/>
      <c r="I443" s="561"/>
      <c r="J443" s="221">
        <f>SUM(J427:J442)</f>
        <v>15352.722499999998</v>
      </c>
    </row>
    <row r="444" spans="1:10" x14ac:dyDescent="0.3">
      <c r="A444" s="215" t="str">
        <f>ORÇAMENTO!A294</f>
        <v>9.2</v>
      </c>
      <c r="B444" s="218" t="str">
        <f>ORÇAMENTO!B294</f>
        <v>GOINFRA</v>
      </c>
      <c r="C444" s="216">
        <f>ORÇAMENTO!C294</f>
        <v>100303</v>
      </c>
      <c r="D444" s="219" t="str">
        <f>ORÇAMENTO!D294</f>
        <v>DIVISORIA DE ARDOSIA POLIDA 3 CM</v>
      </c>
      <c r="E444" s="216" t="str">
        <f>ORÇAMENTO!F294</f>
        <v xml:space="preserve">m2 </v>
      </c>
      <c r="F444" s="568" t="s">
        <v>71</v>
      </c>
      <c r="G444" s="569"/>
      <c r="H444" s="570" t="s">
        <v>79</v>
      </c>
      <c r="I444" s="571"/>
      <c r="J444" s="220" t="s">
        <v>65</v>
      </c>
    </row>
    <row r="445" spans="1:10" x14ac:dyDescent="0.3">
      <c r="A445" s="119"/>
      <c r="B445" s="12"/>
      <c r="C445" s="13"/>
      <c r="D445" s="173" t="s">
        <v>321</v>
      </c>
      <c r="E445" s="233"/>
      <c r="F445" s="591" t="s">
        <v>620</v>
      </c>
      <c r="G445" s="592"/>
      <c r="H445" s="602">
        <v>2</v>
      </c>
      <c r="I445" s="603"/>
      <c r="J445" s="236">
        <f>(4.85+2.15)*H445</f>
        <v>14</v>
      </c>
    </row>
    <row r="446" spans="1:10" x14ac:dyDescent="0.3">
      <c r="A446" s="119"/>
      <c r="B446" s="12"/>
      <c r="C446" s="13"/>
      <c r="D446" s="173" t="s">
        <v>321</v>
      </c>
      <c r="E446" s="233"/>
      <c r="F446" s="591" t="s">
        <v>621</v>
      </c>
      <c r="G446" s="592"/>
      <c r="H446" s="602">
        <v>1.8</v>
      </c>
      <c r="I446" s="603"/>
      <c r="J446" s="236">
        <f>(1.25*3)*H446</f>
        <v>6.75</v>
      </c>
    </row>
    <row r="447" spans="1:10" x14ac:dyDescent="0.3">
      <c r="A447" s="119"/>
      <c r="B447" s="12"/>
      <c r="C447" s="13"/>
      <c r="D447" s="173" t="s">
        <v>320</v>
      </c>
      <c r="E447" s="233"/>
      <c r="F447" s="591" t="s">
        <v>622</v>
      </c>
      <c r="G447" s="592"/>
      <c r="H447" s="602">
        <v>2</v>
      </c>
      <c r="I447" s="603"/>
      <c r="J447" s="236">
        <f>-(0.6*5)*H447</f>
        <v>-6</v>
      </c>
    </row>
    <row r="448" spans="1:10" x14ac:dyDescent="0.3">
      <c r="A448" s="162"/>
      <c r="B448" s="59"/>
      <c r="C448" s="60"/>
      <c r="D448" s="173" t="s">
        <v>319</v>
      </c>
      <c r="E448" s="233"/>
      <c r="F448" s="591">
        <v>3.95</v>
      </c>
      <c r="G448" s="592"/>
      <c r="H448" s="602">
        <v>2</v>
      </c>
      <c r="I448" s="603"/>
      <c r="J448" s="236">
        <f>(3.95)*H448</f>
        <v>7.9</v>
      </c>
    </row>
    <row r="449" spans="1:10" x14ac:dyDescent="0.3">
      <c r="A449" s="162"/>
      <c r="B449" s="59"/>
      <c r="C449" s="60"/>
      <c r="D449" s="173" t="s">
        <v>319</v>
      </c>
      <c r="E449" s="233"/>
      <c r="F449" s="591" t="s">
        <v>623</v>
      </c>
      <c r="G449" s="592"/>
      <c r="H449" s="602">
        <v>1.8</v>
      </c>
      <c r="I449" s="603"/>
      <c r="J449" s="236">
        <f>1.25*2*H449</f>
        <v>4.5</v>
      </c>
    </row>
    <row r="450" spans="1:10" x14ac:dyDescent="0.3">
      <c r="A450" s="119"/>
      <c r="B450" s="12"/>
      <c r="C450" s="13"/>
      <c r="D450" s="173" t="s">
        <v>320</v>
      </c>
      <c r="E450" s="233"/>
      <c r="F450" s="591" t="s">
        <v>624</v>
      </c>
      <c r="G450" s="592"/>
      <c r="H450" s="602">
        <v>2</v>
      </c>
      <c r="I450" s="603"/>
      <c r="J450" s="236">
        <f>-(0.6*3)*H450</f>
        <v>-3.5999999999999996</v>
      </c>
    </row>
    <row r="451" spans="1:10" x14ac:dyDescent="0.3">
      <c r="A451" s="119"/>
      <c r="B451" s="12"/>
      <c r="C451" s="13"/>
      <c r="D451" s="173" t="s">
        <v>625</v>
      </c>
      <c r="E451" s="233"/>
      <c r="F451" s="591" t="s">
        <v>626</v>
      </c>
      <c r="G451" s="592"/>
      <c r="H451" s="602">
        <v>1.2</v>
      </c>
      <c r="I451" s="603"/>
      <c r="J451" s="236">
        <f>(4*0.4)*H451</f>
        <v>1.92</v>
      </c>
    </row>
    <row r="452" spans="1:10" x14ac:dyDescent="0.3">
      <c r="A452" s="119"/>
      <c r="B452" s="12"/>
      <c r="C452" s="13"/>
      <c r="D452" s="52" t="s">
        <v>69</v>
      </c>
      <c r="E452" s="68"/>
      <c r="F452" s="565" t="s">
        <v>345</v>
      </c>
      <c r="G452" s="567"/>
      <c r="H452" s="579">
        <v>1.8</v>
      </c>
      <c r="I452" s="581"/>
      <c r="J452" s="53"/>
    </row>
    <row r="453" spans="1:10" x14ac:dyDescent="0.3">
      <c r="A453" s="119"/>
      <c r="B453" s="12"/>
      <c r="C453" s="13"/>
      <c r="D453" s="52" t="s">
        <v>69</v>
      </c>
      <c r="E453" s="68"/>
      <c r="F453" s="565" t="s">
        <v>322</v>
      </c>
      <c r="G453" s="567"/>
      <c r="H453" s="579">
        <v>1</v>
      </c>
      <c r="I453" s="581"/>
      <c r="J453" s="53"/>
    </row>
    <row r="454" spans="1:10" x14ac:dyDescent="0.3">
      <c r="A454" s="162"/>
      <c r="B454" s="59"/>
      <c r="C454" s="60"/>
      <c r="D454" s="52" t="s">
        <v>320</v>
      </c>
      <c r="E454" s="68"/>
      <c r="F454" s="565" t="s">
        <v>323</v>
      </c>
      <c r="G454" s="567"/>
      <c r="H454" s="579">
        <v>2</v>
      </c>
      <c r="I454" s="581"/>
      <c r="J454" s="53"/>
    </row>
    <row r="455" spans="1:10" ht="15" thickBot="1" x14ac:dyDescent="0.35">
      <c r="A455" s="559" t="s">
        <v>58</v>
      </c>
      <c r="B455" s="560"/>
      <c r="C455" s="560"/>
      <c r="D455" s="560"/>
      <c r="E455" s="560"/>
      <c r="F455" s="560"/>
      <c r="G455" s="560"/>
      <c r="H455" s="560"/>
      <c r="I455" s="561"/>
      <c r="J455" s="221">
        <f>SUM(J445:J454)</f>
        <v>25.47</v>
      </c>
    </row>
    <row r="456" spans="1:10" ht="15" thickBot="1" x14ac:dyDescent="0.35">
      <c r="A456" s="582" t="s">
        <v>34</v>
      </c>
      <c r="B456" s="583"/>
      <c r="C456" s="583"/>
      <c r="D456" s="583"/>
      <c r="E456" s="583"/>
      <c r="F456" s="583"/>
      <c r="G456" s="583"/>
      <c r="H456" s="583"/>
      <c r="I456" s="583"/>
      <c r="J456" s="584"/>
    </row>
    <row r="457" spans="1:10" ht="15" thickBot="1" x14ac:dyDescent="0.35">
      <c r="A457" s="309" t="s">
        <v>359</v>
      </c>
      <c r="B457" s="310" t="s">
        <v>11</v>
      </c>
      <c r="C457" s="311">
        <v>120000</v>
      </c>
      <c r="D457" s="624" t="s">
        <v>35</v>
      </c>
      <c r="E457" s="625"/>
      <c r="F457" s="625"/>
      <c r="G457" s="625"/>
      <c r="H457" s="625"/>
      <c r="I457" s="625"/>
      <c r="J457" s="312"/>
    </row>
    <row r="458" spans="1:10" x14ac:dyDescent="0.3">
      <c r="A458" s="119" t="str">
        <f>ORÇAMENTO!A298</f>
        <v>10.1</v>
      </c>
      <c r="B458" s="12" t="str">
        <f>ORÇAMENTO!B298</f>
        <v>GOINFRA</v>
      </c>
      <c r="C458" s="13">
        <f>ORÇAMENTO!C298</f>
        <v>120902</v>
      </c>
      <c r="D458" s="52" t="str">
        <f>ORÇAMENTO!D298</f>
        <v xml:space="preserve">IMPERMEABILIZACAO VIGAS BALDRAMES E=2,0 CM </v>
      </c>
      <c r="E458" s="13" t="str">
        <f>ORÇAMENTO!F298</f>
        <v xml:space="preserve">m2 </v>
      </c>
      <c r="F458" s="153" t="s">
        <v>67</v>
      </c>
      <c r="G458" s="153" t="s">
        <v>344</v>
      </c>
      <c r="H458" s="570" t="s">
        <v>77</v>
      </c>
      <c r="I458" s="571"/>
      <c r="J458" s="62" t="s">
        <v>65</v>
      </c>
    </row>
    <row r="459" spans="1:10" x14ac:dyDescent="0.3">
      <c r="A459" s="119"/>
      <c r="B459" s="12"/>
      <c r="C459" s="13"/>
      <c r="D459" s="52" t="s">
        <v>353</v>
      </c>
      <c r="E459" s="68"/>
      <c r="F459" s="153">
        <v>1</v>
      </c>
      <c r="G459" s="153">
        <v>0.14000000000000001</v>
      </c>
      <c r="H459" s="565" t="s">
        <v>732</v>
      </c>
      <c r="I459" s="567"/>
      <c r="J459" s="62">
        <f>(167+186.41+371.35)*G459*F459</f>
        <v>101.46640000000001</v>
      </c>
    </row>
    <row r="460" spans="1:10" x14ac:dyDescent="0.3">
      <c r="A460" s="119"/>
      <c r="B460" s="12"/>
      <c r="C460" s="13"/>
      <c r="D460" s="52" t="s">
        <v>353</v>
      </c>
      <c r="E460" s="68"/>
      <c r="F460" s="153">
        <v>2</v>
      </c>
      <c r="G460" s="153">
        <v>0.4</v>
      </c>
      <c r="H460" s="565" t="s">
        <v>730</v>
      </c>
      <c r="I460" s="567"/>
      <c r="J460" s="62">
        <f>(167+186.41+371.35)*G460*F460</f>
        <v>579.80799999999999</v>
      </c>
    </row>
    <row r="461" spans="1:10" ht="15" thickBot="1" x14ac:dyDescent="0.35">
      <c r="A461" s="559" t="s">
        <v>58</v>
      </c>
      <c r="B461" s="560"/>
      <c r="C461" s="560"/>
      <c r="D461" s="560"/>
      <c r="E461" s="560"/>
      <c r="F461" s="560"/>
      <c r="G461" s="560"/>
      <c r="H461" s="560"/>
      <c r="I461" s="561"/>
      <c r="J461" s="221">
        <f>SUM(J459:J460)</f>
        <v>681.27440000000001</v>
      </c>
    </row>
    <row r="462" spans="1:10" s="167" customFormat="1" x14ac:dyDescent="0.3">
      <c r="A462" s="327" t="str">
        <f>ORÇAMENTO!A299</f>
        <v>10.2</v>
      </c>
      <c r="B462" s="328" t="str">
        <f>ORÇAMENTO!B299</f>
        <v>GOINFRA</v>
      </c>
      <c r="C462" s="329">
        <f>ORÇAMENTO!C299</f>
        <v>121001</v>
      </c>
      <c r="D462" s="330" t="str">
        <f>ORÇAMENTO!D299</f>
        <v xml:space="preserve">IMPERMEABILIZAÇÃO-REBAIXO BANHEIRO COM 4 DEMÃOS DE EMULSÃO ASFÁLTICA </v>
      </c>
      <c r="E462" s="329" t="str">
        <f>ORÇAMENTO!F299</f>
        <v xml:space="preserve">m2 </v>
      </c>
      <c r="F462" s="630" t="s">
        <v>66</v>
      </c>
      <c r="G462" s="631"/>
      <c r="H462" s="631"/>
      <c r="I462" s="632"/>
      <c r="J462" s="331" t="s">
        <v>65</v>
      </c>
    </row>
    <row r="463" spans="1:10" s="167" customFormat="1" x14ac:dyDescent="0.3">
      <c r="A463" s="170"/>
      <c r="B463" s="171"/>
      <c r="C463" s="172"/>
      <c r="D463" s="173" t="s">
        <v>627</v>
      </c>
      <c r="E463" s="233"/>
      <c r="F463" s="602">
        <v>7.65</v>
      </c>
      <c r="G463" s="611"/>
      <c r="H463" s="611"/>
      <c r="I463" s="603"/>
      <c r="J463" s="174">
        <f>F463</f>
        <v>7.65</v>
      </c>
    </row>
    <row r="464" spans="1:10" s="167" customFormat="1" x14ac:dyDescent="0.3">
      <c r="A464" s="170"/>
      <c r="B464" s="171"/>
      <c r="C464" s="172"/>
      <c r="D464" s="173" t="s">
        <v>628</v>
      </c>
      <c r="E464" s="233"/>
      <c r="F464" s="602">
        <v>4.5</v>
      </c>
      <c r="G464" s="611"/>
      <c r="H464" s="611"/>
      <c r="I464" s="603"/>
      <c r="J464" s="174">
        <f t="shared" ref="J464:J474" si="15">F464</f>
        <v>4.5</v>
      </c>
    </row>
    <row r="465" spans="1:10" s="167" customFormat="1" x14ac:dyDescent="0.3">
      <c r="A465" s="170"/>
      <c r="B465" s="171"/>
      <c r="C465" s="172"/>
      <c r="D465" s="173" t="s">
        <v>629</v>
      </c>
      <c r="E465" s="233"/>
      <c r="F465" s="602">
        <v>5.18</v>
      </c>
      <c r="G465" s="611"/>
      <c r="H465" s="611"/>
      <c r="I465" s="603"/>
      <c r="J465" s="174">
        <f t="shared" si="15"/>
        <v>5.18</v>
      </c>
    </row>
    <row r="466" spans="1:10" s="167" customFormat="1" x14ac:dyDescent="0.3">
      <c r="A466" s="170"/>
      <c r="B466" s="171"/>
      <c r="C466" s="172"/>
      <c r="D466" s="173" t="s">
        <v>629</v>
      </c>
      <c r="E466" s="233"/>
      <c r="F466" s="602">
        <v>5.18</v>
      </c>
      <c r="G466" s="611"/>
      <c r="H466" s="611"/>
      <c r="I466" s="603"/>
      <c r="J466" s="174">
        <f t="shared" si="15"/>
        <v>5.18</v>
      </c>
    </row>
    <row r="467" spans="1:10" s="167" customFormat="1" x14ac:dyDescent="0.3">
      <c r="A467" s="170"/>
      <c r="B467" s="171"/>
      <c r="C467" s="172"/>
      <c r="D467" s="173" t="s">
        <v>630</v>
      </c>
      <c r="E467" s="233"/>
      <c r="F467" s="602">
        <v>12.6</v>
      </c>
      <c r="G467" s="611"/>
      <c r="H467" s="611"/>
      <c r="I467" s="603"/>
      <c r="J467" s="174">
        <f t="shared" si="15"/>
        <v>12.6</v>
      </c>
    </row>
    <row r="468" spans="1:10" s="167" customFormat="1" x14ac:dyDescent="0.3">
      <c r="A468" s="170"/>
      <c r="B468" s="171"/>
      <c r="C468" s="172"/>
      <c r="D468" s="173" t="s">
        <v>630</v>
      </c>
      <c r="E468" s="233"/>
      <c r="F468" s="602">
        <v>12.6</v>
      </c>
      <c r="G468" s="611"/>
      <c r="H468" s="611"/>
      <c r="I468" s="603"/>
      <c r="J468" s="174">
        <f t="shared" si="15"/>
        <v>12.6</v>
      </c>
    </row>
    <row r="469" spans="1:10" s="167" customFormat="1" x14ac:dyDescent="0.3">
      <c r="A469" s="237"/>
      <c r="B469" s="238"/>
      <c r="C469" s="235"/>
      <c r="D469" s="173" t="s">
        <v>632</v>
      </c>
      <c r="E469" s="235"/>
      <c r="F469" s="602">
        <v>17.45</v>
      </c>
      <c r="G469" s="611"/>
      <c r="H469" s="611"/>
      <c r="I469" s="603"/>
      <c r="J469" s="174">
        <f t="shared" si="15"/>
        <v>17.45</v>
      </c>
    </row>
    <row r="470" spans="1:10" s="167" customFormat="1" x14ac:dyDescent="0.3">
      <c r="A470" s="170"/>
      <c r="B470" s="171"/>
      <c r="C470" s="172"/>
      <c r="D470" s="173" t="s">
        <v>631</v>
      </c>
      <c r="E470" s="233"/>
      <c r="F470" s="602">
        <v>3</v>
      </c>
      <c r="G470" s="611"/>
      <c r="H470" s="611"/>
      <c r="I470" s="603"/>
      <c r="J470" s="174">
        <f t="shared" si="15"/>
        <v>3</v>
      </c>
    </row>
    <row r="471" spans="1:10" s="167" customFormat="1" x14ac:dyDescent="0.3">
      <c r="A471" s="237"/>
      <c r="B471" s="238"/>
      <c r="C471" s="235"/>
      <c r="D471" s="173" t="s">
        <v>633</v>
      </c>
      <c r="E471" s="235"/>
      <c r="F471" s="602">
        <v>17.45</v>
      </c>
      <c r="G471" s="611"/>
      <c r="H471" s="611"/>
      <c r="I471" s="603"/>
      <c r="J471" s="174">
        <f t="shared" si="15"/>
        <v>17.45</v>
      </c>
    </row>
    <row r="472" spans="1:10" s="167" customFormat="1" x14ac:dyDescent="0.3">
      <c r="A472" s="170"/>
      <c r="B472" s="171"/>
      <c r="C472" s="172"/>
      <c r="D472" s="173" t="s">
        <v>634</v>
      </c>
      <c r="E472" s="233"/>
      <c r="F472" s="602">
        <v>3</v>
      </c>
      <c r="G472" s="611"/>
      <c r="H472" s="611"/>
      <c r="I472" s="603"/>
      <c r="J472" s="174">
        <f t="shared" si="15"/>
        <v>3</v>
      </c>
    </row>
    <row r="473" spans="1:10" s="167" customFormat="1" x14ac:dyDescent="0.3">
      <c r="A473" s="237"/>
      <c r="B473" s="238"/>
      <c r="C473" s="235"/>
      <c r="D473" s="234" t="s">
        <v>635</v>
      </c>
      <c r="E473" s="235"/>
      <c r="F473" s="602">
        <v>2.02</v>
      </c>
      <c r="G473" s="611"/>
      <c r="H473" s="611"/>
      <c r="I473" s="603"/>
      <c r="J473" s="174">
        <f t="shared" si="15"/>
        <v>2.02</v>
      </c>
    </row>
    <row r="474" spans="1:10" s="167" customFormat="1" x14ac:dyDescent="0.3">
      <c r="A474" s="170"/>
      <c r="B474" s="171"/>
      <c r="C474" s="172"/>
      <c r="D474" s="173" t="s">
        <v>636</v>
      </c>
      <c r="E474" s="233"/>
      <c r="F474" s="602">
        <v>28.48</v>
      </c>
      <c r="G474" s="611"/>
      <c r="H474" s="611"/>
      <c r="I474" s="603"/>
      <c r="J474" s="174">
        <f t="shared" si="15"/>
        <v>28.48</v>
      </c>
    </row>
    <row r="475" spans="1:10" s="167" customFormat="1" x14ac:dyDescent="0.3">
      <c r="A475" s="237"/>
      <c r="B475" s="238"/>
      <c r="C475" s="235"/>
      <c r="D475" s="234" t="s">
        <v>637</v>
      </c>
      <c r="E475" s="235"/>
      <c r="F475" s="602" t="s">
        <v>638</v>
      </c>
      <c r="G475" s="611"/>
      <c r="H475" s="611"/>
      <c r="I475" s="603"/>
      <c r="J475" s="174">
        <f>1.5*3.85*32</f>
        <v>184.8</v>
      </c>
    </row>
    <row r="476" spans="1:10" ht="15" thickBot="1" x14ac:dyDescent="0.35">
      <c r="A476" s="559" t="s">
        <v>58</v>
      </c>
      <c r="B476" s="560"/>
      <c r="C476" s="560"/>
      <c r="D476" s="560"/>
      <c r="E476" s="560"/>
      <c r="F476" s="560"/>
      <c r="G476" s="560"/>
      <c r="H476" s="560"/>
      <c r="I476" s="561"/>
      <c r="J476" s="221">
        <f>SUM(J463:J475)</f>
        <v>303.91000000000003</v>
      </c>
    </row>
    <row r="477" spans="1:10" x14ac:dyDescent="0.3">
      <c r="A477" s="215" t="str">
        <f>ORÇAMENTO!A300</f>
        <v>10.3</v>
      </c>
      <c r="B477" s="216" t="str">
        <f>ORÇAMENTO!B300</f>
        <v>GOINFRA</v>
      </c>
      <c r="C477" s="216">
        <f>ORÇAMENTO!C300</f>
        <v>121101</v>
      </c>
      <c r="D477" s="219" t="str">
        <f>ORÇAMENTO!D300</f>
        <v>IMPERMEABILIZAÇÃO MURO DE ARRIMO COM 4 DEMÃOS DE EMULSÃO ASFÁLTICA</v>
      </c>
      <c r="E477" s="216" t="str">
        <f>ORÇAMENTO!F300</f>
        <v xml:space="preserve"> m2 </v>
      </c>
      <c r="F477" s="568" t="s">
        <v>77</v>
      </c>
      <c r="G477" s="607"/>
      <c r="H477" s="607"/>
      <c r="I477" s="569"/>
      <c r="J477" s="220" t="s">
        <v>65</v>
      </c>
    </row>
    <row r="478" spans="1:10" x14ac:dyDescent="0.3">
      <c r="A478" s="119"/>
      <c r="B478" s="12"/>
      <c r="C478" s="13"/>
      <c r="D478" s="52" t="s">
        <v>848</v>
      </c>
      <c r="E478" s="68"/>
      <c r="F478" s="565" t="s">
        <v>849</v>
      </c>
      <c r="G478" s="566"/>
      <c r="H478" s="566"/>
      <c r="I478" s="567"/>
      <c r="J478" s="62">
        <f>(4.62*4)+(84.12*1.1*2)</f>
        <v>203.54400000000001</v>
      </c>
    </row>
    <row r="479" spans="1:10" ht="15" thickBot="1" x14ac:dyDescent="0.35">
      <c r="A479" s="559" t="s">
        <v>58</v>
      </c>
      <c r="B479" s="560"/>
      <c r="C479" s="560"/>
      <c r="D479" s="560"/>
      <c r="E479" s="560"/>
      <c r="F479" s="560"/>
      <c r="G479" s="560"/>
      <c r="H479" s="560"/>
      <c r="I479" s="561"/>
      <c r="J479" s="221">
        <f>SUM(J478)</f>
        <v>203.54400000000001</v>
      </c>
    </row>
    <row r="480" spans="1:10" ht="15" thickBot="1" x14ac:dyDescent="0.35">
      <c r="A480" s="582" t="s">
        <v>36</v>
      </c>
      <c r="B480" s="583"/>
      <c r="C480" s="583"/>
      <c r="D480" s="583"/>
      <c r="E480" s="583"/>
      <c r="F480" s="583"/>
      <c r="G480" s="583"/>
      <c r="H480" s="583"/>
      <c r="I480" s="583"/>
      <c r="J480" s="584"/>
    </row>
    <row r="481" spans="1:10" x14ac:dyDescent="0.3">
      <c r="A481" s="309">
        <v>11</v>
      </c>
      <c r="B481" s="310" t="s">
        <v>11</v>
      </c>
      <c r="C481" s="311">
        <v>140000</v>
      </c>
      <c r="D481" s="624" t="s">
        <v>37</v>
      </c>
      <c r="E481" s="625"/>
      <c r="F481" s="625"/>
      <c r="G481" s="625"/>
      <c r="H481" s="625"/>
      <c r="I481" s="625"/>
      <c r="J481" s="312"/>
    </row>
    <row r="482" spans="1:10" x14ac:dyDescent="0.3">
      <c r="A482" s="119" t="str">
        <f>ORÇAMENTO!A304</f>
        <v>11.1</v>
      </c>
      <c r="B482" s="12" t="str">
        <f>ORÇAMENTO!B304</f>
        <v>GOINFRA</v>
      </c>
      <c r="C482" s="13">
        <f>ORÇAMENTO!C304</f>
        <v>140201</v>
      </c>
      <c r="D482" s="52" t="str">
        <f>ORÇAMENTO!D304</f>
        <v xml:space="preserve">ESTRUT.-TELHA DE FIBROCIMENTO (C/TESOURA) C/FERRAGENS </v>
      </c>
      <c r="E482" s="13" t="str">
        <f>ORÇAMENTO!F304</f>
        <v xml:space="preserve">m2 </v>
      </c>
      <c r="F482" s="579" t="s">
        <v>66</v>
      </c>
      <c r="G482" s="580"/>
      <c r="H482" s="580"/>
      <c r="I482" s="581"/>
      <c r="J482" s="62" t="s">
        <v>65</v>
      </c>
    </row>
    <row r="483" spans="1:10" x14ac:dyDescent="0.3">
      <c r="A483" s="119"/>
      <c r="B483" s="12"/>
      <c r="C483" s="13"/>
      <c r="D483" s="52" t="s">
        <v>639</v>
      </c>
      <c r="E483" s="13"/>
      <c r="F483" s="579">
        <v>80.34</v>
      </c>
      <c r="G483" s="580"/>
      <c r="H483" s="580"/>
      <c r="I483" s="581"/>
      <c r="J483" s="62">
        <f>F483</f>
        <v>80.34</v>
      </c>
    </row>
    <row r="484" spans="1:10" ht="15" thickBot="1" x14ac:dyDescent="0.35">
      <c r="A484" s="559" t="s">
        <v>58</v>
      </c>
      <c r="B484" s="560"/>
      <c r="C484" s="560"/>
      <c r="D484" s="560"/>
      <c r="E484" s="560"/>
      <c r="F484" s="560"/>
      <c r="G484" s="560"/>
      <c r="H484" s="560"/>
      <c r="I484" s="561"/>
      <c r="J484" s="221">
        <f>SUM(J483:J483)</f>
        <v>80.34</v>
      </c>
    </row>
    <row r="485" spans="1:10" ht="15" thickBot="1" x14ac:dyDescent="0.35">
      <c r="A485" s="582" t="s">
        <v>38</v>
      </c>
      <c r="B485" s="583"/>
      <c r="C485" s="583"/>
      <c r="D485" s="583"/>
      <c r="E485" s="583"/>
      <c r="F485" s="583"/>
      <c r="G485" s="583"/>
      <c r="H485" s="583"/>
      <c r="I485" s="583"/>
      <c r="J485" s="584"/>
    </row>
    <row r="486" spans="1:10" x14ac:dyDescent="0.3">
      <c r="A486" s="309">
        <v>12</v>
      </c>
      <c r="B486" s="310" t="s">
        <v>11</v>
      </c>
      <c r="C486" s="311">
        <v>150000</v>
      </c>
      <c r="D486" s="624" t="s">
        <v>39</v>
      </c>
      <c r="E486" s="625"/>
      <c r="F486" s="625"/>
      <c r="G486" s="625"/>
      <c r="H486" s="625"/>
      <c r="I486" s="625"/>
      <c r="J486" s="312"/>
    </row>
    <row r="487" spans="1:10" x14ac:dyDescent="0.3">
      <c r="A487" s="119" t="str">
        <f>ORÇAMENTO!A308</f>
        <v>12.1</v>
      </c>
      <c r="B487" s="12" t="str">
        <f>ORÇAMENTO!B309</f>
        <v>GOINFRA</v>
      </c>
      <c r="C487" s="13">
        <f>ORÇAMENTO!C308</f>
        <v>150103</v>
      </c>
      <c r="D487" s="52" t="str">
        <f>ORÇAMENTO!D308</f>
        <v>ESTRUTURA METALICA CONVENCIONAL EM AÇO TIPO USI SAC-300 COM FUNDO ANTICORROSIVO</v>
      </c>
      <c r="E487" s="13" t="str">
        <f>ORÇAMENTO!F309</f>
        <v xml:space="preserve">Kg </v>
      </c>
      <c r="F487" s="565" t="s">
        <v>851</v>
      </c>
      <c r="G487" s="566"/>
      <c r="H487" s="566"/>
      <c r="I487" s="567"/>
      <c r="J487" s="62" t="s">
        <v>65</v>
      </c>
    </row>
    <row r="488" spans="1:10" x14ac:dyDescent="0.3">
      <c r="A488" s="119"/>
      <c r="B488" s="12"/>
      <c r="C488" s="13"/>
      <c r="D488" s="52" t="s">
        <v>850</v>
      </c>
      <c r="E488" s="13"/>
      <c r="F488" s="565">
        <v>20705.650000000001</v>
      </c>
      <c r="G488" s="566"/>
      <c r="H488" s="566"/>
      <c r="I488" s="567"/>
      <c r="J488" s="62">
        <f>F488</f>
        <v>20705.650000000001</v>
      </c>
    </row>
    <row r="489" spans="1:10" ht="15" thickBot="1" x14ac:dyDescent="0.35">
      <c r="A489" s="559" t="s">
        <v>58</v>
      </c>
      <c r="B489" s="560"/>
      <c r="C489" s="560"/>
      <c r="D489" s="560"/>
      <c r="E489" s="560"/>
      <c r="F489" s="560"/>
      <c r="G489" s="560"/>
      <c r="H489" s="560"/>
      <c r="I489" s="561"/>
      <c r="J489" s="221">
        <f>SUM(J488:J488)</f>
        <v>20705.650000000001</v>
      </c>
    </row>
    <row r="490" spans="1:10" ht="28.8" x14ac:dyDescent="0.3">
      <c r="A490" s="215" t="str">
        <f>ORÇAMENTO!A309</f>
        <v>12.2</v>
      </c>
      <c r="B490" s="218" t="str">
        <f>ORÇAMENTO!B309</f>
        <v>GOINFRA</v>
      </c>
      <c r="C490" s="216">
        <f>ORÇAMENTO!C309</f>
        <v>150204</v>
      </c>
      <c r="D490" s="219" t="str">
        <f>ORÇAMENTO!D309</f>
        <v>ESTRUTURA METÁLICA CONVENCIONAL EM AÇO DO TIPO MR-250 / ASTM A36 COM FUNDO ANTICORROSIVO</v>
      </c>
      <c r="E490" s="216" t="str">
        <f>ORÇAMENTO!F309</f>
        <v xml:space="preserve">Kg </v>
      </c>
      <c r="F490" s="568" t="s">
        <v>67</v>
      </c>
      <c r="G490" s="569"/>
      <c r="H490" s="293" t="s">
        <v>70</v>
      </c>
      <c r="I490" s="264" t="s">
        <v>536</v>
      </c>
      <c r="J490" s="220" t="s">
        <v>65</v>
      </c>
    </row>
    <row r="491" spans="1:10" x14ac:dyDescent="0.3">
      <c r="A491" s="275"/>
      <c r="B491" s="210"/>
      <c r="C491" s="210"/>
      <c r="D491" s="211" t="s">
        <v>852</v>
      </c>
      <c r="E491" s="210"/>
      <c r="F491" s="681">
        <v>4</v>
      </c>
      <c r="G491" s="681"/>
      <c r="H491" s="13">
        <v>5.5</v>
      </c>
      <c r="I491" s="13">
        <v>20.5</v>
      </c>
      <c r="J491" s="62">
        <f>F491*H491*I491</f>
        <v>451</v>
      </c>
    </row>
    <row r="492" spans="1:10" x14ac:dyDescent="0.3">
      <c r="A492" s="162"/>
      <c r="B492" s="210"/>
      <c r="C492" s="210"/>
      <c r="D492" s="211" t="s">
        <v>853</v>
      </c>
      <c r="E492" s="210"/>
      <c r="F492" s="681" t="s">
        <v>854</v>
      </c>
      <c r="G492" s="681"/>
      <c r="H492" s="681"/>
      <c r="I492" s="681"/>
      <c r="J492" s="53">
        <f>19906.78+1250+191.9</f>
        <v>21348.68</v>
      </c>
    </row>
    <row r="493" spans="1:10" ht="15" thickBot="1" x14ac:dyDescent="0.35">
      <c r="A493" s="559" t="s">
        <v>58</v>
      </c>
      <c r="B493" s="560"/>
      <c r="C493" s="560"/>
      <c r="D493" s="560"/>
      <c r="E493" s="560"/>
      <c r="F493" s="560"/>
      <c r="G493" s="560"/>
      <c r="H493" s="560"/>
      <c r="I493" s="561"/>
      <c r="J493" s="332">
        <f>J492+J491</f>
        <v>21799.68</v>
      </c>
    </row>
    <row r="494" spans="1:10" ht="28.8" x14ac:dyDescent="0.3">
      <c r="A494" s="215" t="str">
        <f>ORÇAMENTO!A310</f>
        <v>12.3</v>
      </c>
      <c r="B494" s="218" t="str">
        <f>ORÇAMENTO!B310</f>
        <v>SINAPI</v>
      </c>
      <c r="C494" s="216">
        <f>ORÇAMENTO!C310</f>
        <v>92580</v>
      </c>
      <c r="D494" s="219" t="str">
        <f>ORÇAMENTO!D310</f>
        <v>TRAMA DE AÇO COMPOSTA POR TERÇAS PARA TELHADOS DE ATÉ 2 ÁGUAS PARA TELHA ONDULADA DE FIBROCIMENTO, METÁLICA, PLÁSTICA OU TERMOACÚSTICA, INCLUSO TRANSPORTE VERTICAL. AF_07/2019</v>
      </c>
      <c r="E494" s="216" t="str">
        <f>ORÇAMENTO!F310</f>
        <v>m2</v>
      </c>
      <c r="F494" s="568" t="s">
        <v>77</v>
      </c>
      <c r="G494" s="569"/>
      <c r="H494" s="570" t="s">
        <v>78</v>
      </c>
      <c r="I494" s="571"/>
      <c r="J494" s="220" t="s">
        <v>65</v>
      </c>
    </row>
    <row r="495" spans="1:10" x14ac:dyDescent="0.3">
      <c r="A495" s="119"/>
      <c r="B495" s="12"/>
      <c r="C495" s="13"/>
      <c r="D495" s="52" t="s">
        <v>767</v>
      </c>
      <c r="E495" s="68"/>
      <c r="F495" s="565">
        <v>68.150000000000006</v>
      </c>
      <c r="G495" s="567"/>
      <c r="H495" s="579">
        <v>26</v>
      </c>
      <c r="I495" s="581"/>
      <c r="J495" s="62">
        <f>H495*F495</f>
        <v>1771.9</v>
      </c>
    </row>
    <row r="496" spans="1:10" x14ac:dyDescent="0.3">
      <c r="A496" s="119"/>
      <c r="B496" s="12"/>
      <c r="C496" s="13"/>
      <c r="D496" s="52" t="s">
        <v>855</v>
      </c>
      <c r="E496" s="68"/>
      <c r="F496" s="565">
        <v>13.5</v>
      </c>
      <c r="G496" s="567"/>
      <c r="H496" s="579">
        <v>8.4</v>
      </c>
      <c r="I496" s="581"/>
      <c r="J496" s="62">
        <f>H496*F496</f>
        <v>113.4</v>
      </c>
    </row>
    <row r="497" spans="1:10" ht="15" thickBot="1" x14ac:dyDescent="0.35">
      <c r="A497" s="559" t="s">
        <v>58</v>
      </c>
      <c r="B497" s="560"/>
      <c r="C497" s="560"/>
      <c r="D497" s="560"/>
      <c r="E497" s="560"/>
      <c r="F497" s="560"/>
      <c r="G497" s="560"/>
      <c r="H497" s="560"/>
      <c r="I497" s="561"/>
      <c r="J497" s="221">
        <f>SUM(J495:J496)</f>
        <v>1885.3000000000002</v>
      </c>
    </row>
    <row r="498" spans="1:10" x14ac:dyDescent="0.3">
      <c r="A498" s="215" t="str">
        <f>ORÇAMENTO!A311</f>
        <v>12.4</v>
      </c>
      <c r="B498" s="612" t="str">
        <f>ORÇAMENTO!B311</f>
        <v xml:space="preserve"> Composição 1</v>
      </c>
      <c r="C498" s="614"/>
      <c r="D498" s="219" t="str">
        <f>ORÇAMENTO!D311</f>
        <v>TERÇA METÁLICA 13 METROS - FABRICAÇÃO E INSTALAÇÃO DE TESOURA INTEIRA EM AÇO, INCLUSO IÇAMENTO</v>
      </c>
      <c r="E498" s="216" t="str">
        <f>ORÇAMENTO!F311</f>
        <v>und.</v>
      </c>
      <c r="F498" s="570" t="s">
        <v>67</v>
      </c>
      <c r="G498" s="594"/>
      <c r="H498" s="594"/>
      <c r="I498" s="571"/>
      <c r="J498" s="220" t="s">
        <v>65</v>
      </c>
    </row>
    <row r="499" spans="1:10" x14ac:dyDescent="0.3">
      <c r="A499" s="119"/>
      <c r="B499" s="12"/>
      <c r="C499" s="13"/>
      <c r="D499" s="52" t="s">
        <v>372</v>
      </c>
      <c r="E499" s="68"/>
      <c r="F499" s="579">
        <v>34</v>
      </c>
      <c r="G499" s="580"/>
      <c r="H499" s="580"/>
      <c r="I499" s="581"/>
      <c r="J499" s="62">
        <f>F499</f>
        <v>34</v>
      </c>
    </row>
    <row r="500" spans="1:10" x14ac:dyDescent="0.3">
      <c r="A500" s="212"/>
      <c r="B500" s="12"/>
      <c r="C500" s="13"/>
      <c r="D500" s="52"/>
      <c r="E500" s="68"/>
      <c r="F500" s="598">
        <v>2</v>
      </c>
      <c r="G500" s="598"/>
      <c r="H500" s="598"/>
      <c r="I500" s="598"/>
      <c r="J500" s="62">
        <f>F500</f>
        <v>2</v>
      </c>
    </row>
    <row r="501" spans="1:10" ht="15" thickBot="1" x14ac:dyDescent="0.35">
      <c r="A501" s="559" t="s">
        <v>58</v>
      </c>
      <c r="B501" s="560"/>
      <c r="C501" s="560"/>
      <c r="D501" s="560"/>
      <c r="E501" s="560"/>
      <c r="F501" s="560"/>
      <c r="G501" s="560"/>
      <c r="H501" s="560"/>
      <c r="I501" s="561"/>
      <c r="J501" s="221">
        <f>J499+J500</f>
        <v>36</v>
      </c>
    </row>
    <row r="502" spans="1:10" ht="15" thickBot="1" x14ac:dyDescent="0.35">
      <c r="A502" s="582" t="s">
        <v>40</v>
      </c>
      <c r="B502" s="583"/>
      <c r="C502" s="583"/>
      <c r="D502" s="583"/>
      <c r="E502" s="583"/>
      <c r="F502" s="583"/>
      <c r="G502" s="583"/>
      <c r="H502" s="583"/>
      <c r="I502" s="583"/>
      <c r="J502" s="584"/>
    </row>
    <row r="503" spans="1:10" x14ac:dyDescent="0.3">
      <c r="A503" s="309">
        <v>13</v>
      </c>
      <c r="B503" s="310" t="s">
        <v>11</v>
      </c>
      <c r="C503" s="311">
        <v>160000</v>
      </c>
      <c r="D503" s="624" t="s">
        <v>41</v>
      </c>
      <c r="E503" s="625"/>
      <c r="F503" s="625"/>
      <c r="G503" s="625"/>
      <c r="H503" s="625"/>
      <c r="I503" s="625"/>
      <c r="J503" s="312"/>
    </row>
    <row r="504" spans="1:10" x14ac:dyDescent="0.3">
      <c r="A504" s="119" t="str">
        <f>ORÇAMENTO!A315</f>
        <v>13.1</v>
      </c>
      <c r="B504" s="12" t="str">
        <f>ORÇAMENTO!B315</f>
        <v>GOINFRA</v>
      </c>
      <c r="C504" s="13">
        <f>ORÇAMENTO!C315</f>
        <v>160600</v>
      </c>
      <c r="D504" s="52" t="str">
        <f>ORÇAMENTO!D315</f>
        <v xml:space="preserve">CALHA DE CHAPA GALVANIZADA </v>
      </c>
      <c r="E504" s="13" t="str">
        <f>ORÇAMENTO!F315</f>
        <v xml:space="preserve">m2 </v>
      </c>
      <c r="F504" s="579" t="s">
        <v>66</v>
      </c>
      <c r="G504" s="580"/>
      <c r="H504" s="580"/>
      <c r="I504" s="581"/>
      <c r="J504" s="62" t="s">
        <v>65</v>
      </c>
    </row>
    <row r="505" spans="1:10" x14ac:dyDescent="0.3">
      <c r="A505" s="119"/>
      <c r="B505" s="12"/>
      <c r="C505" s="13"/>
      <c r="D505" s="52" t="s">
        <v>862</v>
      </c>
      <c r="E505" s="68"/>
      <c r="F505" s="579" t="s">
        <v>863</v>
      </c>
      <c r="G505" s="580"/>
      <c r="H505" s="580"/>
      <c r="I505" s="581"/>
      <c r="J505" s="62">
        <f>((0.2+0.3+0.25)*(68.15+68.15))+((0.2+0.3+0.25)*(70+70))</f>
        <v>207.22500000000002</v>
      </c>
    </row>
    <row r="506" spans="1:10" ht="15" thickBot="1" x14ac:dyDescent="0.35">
      <c r="A506" s="559" t="s">
        <v>58</v>
      </c>
      <c r="B506" s="560"/>
      <c r="C506" s="560"/>
      <c r="D506" s="560"/>
      <c r="E506" s="560"/>
      <c r="F506" s="560"/>
      <c r="G506" s="560"/>
      <c r="H506" s="560"/>
      <c r="I506" s="561"/>
      <c r="J506" s="221">
        <f>SUM(J505)</f>
        <v>207.22500000000002</v>
      </c>
    </row>
    <row r="507" spans="1:10" x14ac:dyDescent="0.3">
      <c r="A507" s="215" t="str">
        <f>ORÇAMENTO!A316</f>
        <v>13.2</v>
      </c>
      <c r="B507" s="218" t="str">
        <f>ORÇAMENTO!B316</f>
        <v>GOINFRA</v>
      </c>
      <c r="C507" s="216">
        <f>ORÇAMENTO!C316</f>
        <v>160601</v>
      </c>
      <c r="D507" s="219" t="str">
        <f>ORÇAMENTO!D316</f>
        <v>CALHA DE CHAPA GALVANIZADA</v>
      </c>
      <c r="E507" s="216" t="str">
        <f>ORÇAMENTO!F316</f>
        <v xml:space="preserve"> m </v>
      </c>
      <c r="F507" s="570" t="s">
        <v>77</v>
      </c>
      <c r="G507" s="594"/>
      <c r="H507" s="594"/>
      <c r="I507" s="571"/>
      <c r="J507" s="220" t="s">
        <v>65</v>
      </c>
    </row>
    <row r="508" spans="1:10" x14ac:dyDescent="0.3">
      <c r="A508" s="119"/>
      <c r="B508" s="12"/>
      <c r="C508" s="13"/>
      <c r="D508" s="52" t="s">
        <v>864</v>
      </c>
      <c r="E508" s="68"/>
      <c r="F508" s="579" t="s">
        <v>867</v>
      </c>
      <c r="G508" s="580"/>
      <c r="H508" s="580"/>
      <c r="I508" s="581"/>
      <c r="J508" s="62">
        <f>10.3+8.4</f>
        <v>18.700000000000003</v>
      </c>
    </row>
    <row r="509" spans="1:10" ht="15" thickBot="1" x14ac:dyDescent="0.35">
      <c r="A509" s="559" t="s">
        <v>58</v>
      </c>
      <c r="B509" s="560"/>
      <c r="C509" s="560"/>
      <c r="D509" s="560"/>
      <c r="E509" s="560"/>
      <c r="F509" s="560"/>
      <c r="G509" s="560"/>
      <c r="H509" s="560"/>
      <c r="I509" s="561"/>
      <c r="J509" s="221">
        <f>SUM(J508)</f>
        <v>18.700000000000003</v>
      </c>
    </row>
    <row r="510" spans="1:10" x14ac:dyDescent="0.3">
      <c r="A510" s="215" t="str">
        <f>ORÇAMENTO!A317</f>
        <v>13.3</v>
      </c>
      <c r="B510" s="218" t="str">
        <f>ORÇAMENTO!B317</f>
        <v>GOINFRA</v>
      </c>
      <c r="C510" s="216">
        <f>ORÇAMENTO!C317</f>
        <v>160602</v>
      </c>
      <c r="D510" s="219" t="str">
        <f>ORÇAMENTO!D317</f>
        <v xml:space="preserve">RUFO DE CHAPA GALVANIZADA </v>
      </c>
      <c r="E510" s="216" t="str">
        <f>ORÇAMENTO!F317</f>
        <v xml:space="preserve">m </v>
      </c>
      <c r="F510" s="568" t="s">
        <v>77</v>
      </c>
      <c r="G510" s="607"/>
      <c r="H510" s="607"/>
      <c r="I510" s="569"/>
      <c r="J510" s="229" t="s">
        <v>65</v>
      </c>
    </row>
    <row r="511" spans="1:10" x14ac:dyDescent="0.3">
      <c r="A511" s="119"/>
      <c r="B511" s="12"/>
      <c r="C511" s="13"/>
      <c r="D511" s="52" t="s">
        <v>866</v>
      </c>
      <c r="E511" s="13"/>
      <c r="F511" s="565" t="s">
        <v>865</v>
      </c>
      <c r="G511" s="566"/>
      <c r="H511" s="566"/>
      <c r="I511" s="567"/>
      <c r="J511" s="53">
        <f>10.3+10.3+7.81+7.81</f>
        <v>36.22</v>
      </c>
    </row>
    <row r="512" spans="1:10" ht="15" thickBot="1" x14ac:dyDescent="0.35">
      <c r="A512" s="559" t="s">
        <v>58</v>
      </c>
      <c r="B512" s="560"/>
      <c r="C512" s="560"/>
      <c r="D512" s="560"/>
      <c r="E512" s="560"/>
      <c r="F512" s="560"/>
      <c r="G512" s="560"/>
      <c r="H512" s="560"/>
      <c r="I512" s="561"/>
      <c r="J512" s="221">
        <f>SUM(J511)</f>
        <v>36.22</v>
      </c>
    </row>
    <row r="513" spans="1:10" x14ac:dyDescent="0.3">
      <c r="A513" s="215" t="str">
        <f>ORÇAMENTO!A318</f>
        <v>13.4</v>
      </c>
      <c r="B513" s="218" t="str">
        <f>ORÇAMENTO!B318</f>
        <v>GOINFRA</v>
      </c>
      <c r="C513" s="216">
        <f>ORÇAMENTO!C318</f>
        <v>160964</v>
      </c>
      <c r="D513" s="219" t="str">
        <f>ORÇAMENTO!D318</f>
        <v xml:space="preserve"> CUMEEIRA PARA TELHA GALVANIZADA TRAPEZOIDAL 0,5 MM </v>
      </c>
      <c r="E513" s="216" t="str">
        <f>ORÇAMENTO!F318</f>
        <v>m</v>
      </c>
      <c r="F513" s="570" t="s">
        <v>77</v>
      </c>
      <c r="G513" s="594"/>
      <c r="H513" s="594"/>
      <c r="I513" s="571"/>
      <c r="J513" s="229" t="s">
        <v>65</v>
      </c>
    </row>
    <row r="514" spans="1:10" x14ac:dyDescent="0.3">
      <c r="A514" s="119"/>
      <c r="B514" s="12"/>
      <c r="C514" s="13"/>
      <c r="D514" s="52" t="s">
        <v>766</v>
      </c>
      <c r="E514" s="13"/>
      <c r="F514" s="579">
        <v>70</v>
      </c>
      <c r="G514" s="580"/>
      <c r="H514" s="580"/>
      <c r="I514" s="581"/>
      <c r="J514" s="53">
        <f>F514</f>
        <v>70</v>
      </c>
    </row>
    <row r="515" spans="1:10" x14ac:dyDescent="0.3">
      <c r="A515" s="119"/>
      <c r="B515" s="12"/>
      <c r="C515" s="13"/>
      <c r="D515" s="52" t="s">
        <v>767</v>
      </c>
      <c r="E515" s="13"/>
      <c r="F515" s="579">
        <v>68.150000000000006</v>
      </c>
      <c r="G515" s="580"/>
      <c r="H515" s="580"/>
      <c r="I515" s="581"/>
      <c r="J515" s="53">
        <f t="shared" ref="J515:J516" si="16">F515</f>
        <v>68.150000000000006</v>
      </c>
    </row>
    <row r="516" spans="1:10" x14ac:dyDescent="0.3">
      <c r="A516" s="119"/>
      <c r="B516" s="12"/>
      <c r="C516" s="13"/>
      <c r="D516" s="52" t="s">
        <v>765</v>
      </c>
      <c r="E516" s="13"/>
      <c r="F516" s="579">
        <v>8.4</v>
      </c>
      <c r="G516" s="580"/>
      <c r="H516" s="580"/>
      <c r="I516" s="581"/>
      <c r="J516" s="53">
        <f t="shared" si="16"/>
        <v>8.4</v>
      </c>
    </row>
    <row r="517" spans="1:10" ht="15" thickBot="1" x14ac:dyDescent="0.35">
      <c r="A517" s="559" t="s">
        <v>58</v>
      </c>
      <c r="B517" s="560"/>
      <c r="C517" s="560"/>
      <c r="D517" s="560"/>
      <c r="E517" s="560"/>
      <c r="F517" s="560"/>
      <c r="G517" s="560"/>
      <c r="H517" s="560"/>
      <c r="I517" s="561"/>
      <c r="J517" s="221">
        <f>SUM(J514:J516)</f>
        <v>146.55000000000001</v>
      </c>
    </row>
    <row r="518" spans="1:10" x14ac:dyDescent="0.3">
      <c r="A518" s="215" t="str">
        <f>ORÇAMENTO!A319</f>
        <v>13.5</v>
      </c>
      <c r="B518" s="218" t="str">
        <f>ORÇAMENTO!B319</f>
        <v>GOINFRA</v>
      </c>
      <c r="C518" s="216">
        <f>ORÇAMENTO!C319</f>
        <v>160967</v>
      </c>
      <c r="D518" s="219" t="str">
        <f>ORÇAMENTO!D319</f>
        <v>COBERTURA COM TELHA CHAPA GALVANIZADA TRAPEZOIDAL 0,5 MM COM ACESSÓRIOS</v>
      </c>
      <c r="E518" s="216" t="str">
        <f>ORÇAMENTO!F319</f>
        <v xml:space="preserve">m2 </v>
      </c>
      <c r="F518" s="570" t="s">
        <v>66</v>
      </c>
      <c r="G518" s="594"/>
      <c r="H518" s="594"/>
      <c r="I518" s="571"/>
      <c r="J518" s="229" t="s">
        <v>65</v>
      </c>
    </row>
    <row r="519" spans="1:10" x14ac:dyDescent="0.3">
      <c r="A519" s="119"/>
      <c r="B519" s="12"/>
      <c r="C519" s="13"/>
      <c r="D519" s="52" t="str">
        <f>D514</f>
        <v>Feira de Varejo</v>
      </c>
      <c r="E519" s="13"/>
      <c r="F519" s="565" t="s">
        <v>868</v>
      </c>
      <c r="G519" s="566"/>
      <c r="H519" s="566"/>
      <c r="I519" s="567"/>
      <c r="J519" s="62">
        <f>70*36.7</f>
        <v>2569</v>
      </c>
    </row>
    <row r="520" spans="1:10" x14ac:dyDescent="0.3">
      <c r="A520" s="119"/>
      <c r="B520" s="12"/>
      <c r="C520" s="13"/>
      <c r="D520" s="52" t="str">
        <f>D515</f>
        <v>Box Atacadista</v>
      </c>
      <c r="E520" s="13"/>
      <c r="F520" s="565" t="s">
        <v>869</v>
      </c>
      <c r="G520" s="566"/>
      <c r="H520" s="566"/>
      <c r="I520" s="567"/>
      <c r="J520" s="62">
        <f>68.15*26</f>
        <v>1771.9</v>
      </c>
    </row>
    <row r="521" spans="1:10" x14ac:dyDescent="0.3">
      <c r="A521" s="119"/>
      <c r="B521" s="12"/>
      <c r="C521" s="13"/>
      <c r="D521" s="52" t="str">
        <f>D516</f>
        <v>Guarita</v>
      </c>
      <c r="E521" s="13"/>
      <c r="F521" s="565" t="s">
        <v>870</v>
      </c>
      <c r="G521" s="566"/>
      <c r="H521" s="566"/>
      <c r="I521" s="567"/>
      <c r="J521" s="62">
        <f>13.5*8.4</f>
        <v>113.4</v>
      </c>
    </row>
    <row r="522" spans="1:10" ht="15" thickBot="1" x14ac:dyDescent="0.35">
      <c r="A522" s="559" t="s">
        <v>58</v>
      </c>
      <c r="B522" s="560"/>
      <c r="C522" s="560"/>
      <c r="D522" s="560"/>
      <c r="E522" s="560"/>
      <c r="F522" s="560"/>
      <c r="G522" s="560"/>
      <c r="H522" s="560"/>
      <c r="I522" s="561"/>
      <c r="J522" s="221">
        <f>SUM(J519:J521)</f>
        <v>4454.2999999999993</v>
      </c>
    </row>
    <row r="523" spans="1:10" x14ac:dyDescent="0.3">
      <c r="A523" s="215" t="str">
        <f>ORÇAMENTO!A320</f>
        <v>13.6</v>
      </c>
      <c r="B523" s="218" t="str">
        <f>ORÇAMENTO!B320</f>
        <v>GOINFRA</v>
      </c>
      <c r="C523" s="216">
        <f>ORÇAMENTO!C320</f>
        <v>160970</v>
      </c>
      <c r="D523" s="330" t="str">
        <f>ORÇAMENTO!D320</f>
        <v>FECHAMENTO LATERAL COM TELHA GALVANIZADA TRAPEZOIDAL 0,43 MM COM ACESSÓRIOS</v>
      </c>
      <c r="E523" s="216" t="str">
        <f>ORÇAMENTO!F320</f>
        <v xml:space="preserve">
m2 </v>
      </c>
      <c r="F523" s="568" t="s">
        <v>77</v>
      </c>
      <c r="G523" s="569"/>
      <c r="H523" s="570" t="s">
        <v>79</v>
      </c>
      <c r="I523" s="571"/>
      <c r="J523" s="220" t="s">
        <v>65</v>
      </c>
    </row>
    <row r="524" spans="1:10" x14ac:dyDescent="0.3">
      <c r="A524" s="119"/>
      <c r="B524" s="12"/>
      <c r="C524" s="13"/>
      <c r="D524" s="52" t="str">
        <f>D519</f>
        <v>Feira de Varejo</v>
      </c>
      <c r="E524" s="13"/>
      <c r="F524" s="578" t="s">
        <v>871</v>
      </c>
      <c r="G524" s="578"/>
      <c r="H524" s="598">
        <v>1.6</v>
      </c>
      <c r="I524" s="598"/>
      <c r="J524" s="53">
        <f>(68.15+68.15+26+26)*1.6</f>
        <v>301.28000000000003</v>
      </c>
    </row>
    <row r="525" spans="1:10" x14ac:dyDescent="0.3">
      <c r="A525" s="119"/>
      <c r="B525" s="12"/>
      <c r="C525" s="13"/>
      <c r="D525" s="52" t="str">
        <f>D520</f>
        <v>Box Atacadista</v>
      </c>
      <c r="E525" s="13"/>
      <c r="F525" s="578" t="s">
        <v>872</v>
      </c>
      <c r="G525" s="578"/>
      <c r="H525" s="598">
        <v>1.6</v>
      </c>
      <c r="I525" s="598"/>
      <c r="J525" s="53">
        <f>(70+70+36.7+36.7)*1.6</f>
        <v>341.44</v>
      </c>
    </row>
    <row r="526" spans="1:10" x14ac:dyDescent="0.3">
      <c r="A526" s="119"/>
      <c r="B526" s="12"/>
      <c r="C526" s="13"/>
      <c r="D526" s="52" t="str">
        <f>D521</f>
        <v>Guarita</v>
      </c>
      <c r="E526" s="13"/>
      <c r="F526" s="578" t="s">
        <v>873</v>
      </c>
      <c r="G526" s="578"/>
      <c r="H526" s="598">
        <v>1.2</v>
      </c>
      <c r="I526" s="598"/>
      <c r="J526" s="53">
        <f>(13.5+13.5+8.4+8.4)*1.2</f>
        <v>52.559999999999995</v>
      </c>
    </row>
    <row r="527" spans="1:10" ht="15" thickBot="1" x14ac:dyDescent="0.35">
      <c r="A527" s="559" t="s">
        <v>58</v>
      </c>
      <c r="B527" s="560"/>
      <c r="C527" s="560"/>
      <c r="D527" s="560"/>
      <c r="E527" s="560"/>
      <c r="F527" s="560"/>
      <c r="G527" s="560"/>
      <c r="H527" s="560"/>
      <c r="I527" s="561"/>
      <c r="J527" s="221">
        <f>J524+J525+J526</f>
        <v>695.28</v>
      </c>
    </row>
    <row r="528" spans="1:10" x14ac:dyDescent="0.3">
      <c r="A528" s="215" t="str">
        <f>ORÇAMENTO!A321</f>
        <v>13.7</v>
      </c>
      <c r="B528" s="218" t="str">
        <f>ORÇAMENTO!B321</f>
        <v>GOINFRA</v>
      </c>
      <c r="C528" s="216">
        <f>ORÇAMENTO!C321</f>
        <v>160501</v>
      </c>
      <c r="D528" s="219" t="str">
        <f>ORÇAMENTO!D321</f>
        <v>COBERTURA COM TELHA ONDULADA OU EQUIV.</v>
      </c>
      <c r="E528" s="216" t="str">
        <f>ORÇAMENTO!F321</f>
        <v xml:space="preserve">
m2 </v>
      </c>
      <c r="F528" s="570" t="str">
        <f>F518</f>
        <v>Área</v>
      </c>
      <c r="G528" s="594"/>
      <c r="H528" s="594"/>
      <c r="I528" s="571"/>
      <c r="J528" s="229" t="s">
        <v>65</v>
      </c>
    </row>
    <row r="529" spans="1:10" x14ac:dyDescent="0.3">
      <c r="A529" s="119"/>
      <c r="B529" s="12"/>
      <c r="C529" s="13"/>
      <c r="D529" s="52" t="s">
        <v>874</v>
      </c>
      <c r="E529" s="13"/>
      <c r="F529" s="579">
        <v>80.34</v>
      </c>
      <c r="G529" s="580"/>
      <c r="H529" s="580"/>
      <c r="I529" s="581"/>
      <c r="J529" s="53">
        <f>F529</f>
        <v>80.34</v>
      </c>
    </row>
    <row r="530" spans="1:10" ht="15" thickBot="1" x14ac:dyDescent="0.35">
      <c r="A530" s="559" t="s">
        <v>58</v>
      </c>
      <c r="B530" s="560"/>
      <c r="C530" s="560"/>
      <c r="D530" s="560"/>
      <c r="E530" s="560"/>
      <c r="F530" s="560"/>
      <c r="G530" s="560"/>
      <c r="H530" s="560"/>
      <c r="I530" s="561"/>
      <c r="J530" s="221">
        <f>J529</f>
        <v>80.34</v>
      </c>
    </row>
    <row r="531" spans="1:10" ht="15" thickBot="1" x14ac:dyDescent="0.35">
      <c r="A531" s="582" t="s">
        <v>42</v>
      </c>
      <c r="B531" s="583"/>
      <c r="C531" s="583"/>
      <c r="D531" s="583"/>
      <c r="E531" s="583"/>
      <c r="F531" s="583"/>
      <c r="G531" s="583"/>
      <c r="H531" s="583"/>
      <c r="I531" s="583"/>
      <c r="J531" s="584"/>
    </row>
    <row r="532" spans="1:10" x14ac:dyDescent="0.3">
      <c r="A532" s="309">
        <v>14</v>
      </c>
      <c r="B532" s="310" t="s">
        <v>11</v>
      </c>
      <c r="C532" s="311">
        <v>170000</v>
      </c>
      <c r="D532" s="624" t="s">
        <v>43</v>
      </c>
      <c r="E532" s="625"/>
      <c r="F532" s="625"/>
      <c r="G532" s="625"/>
      <c r="H532" s="625"/>
      <c r="I532" s="625"/>
      <c r="J532" s="312"/>
    </row>
    <row r="533" spans="1:10" x14ac:dyDescent="0.3">
      <c r="A533" s="119" t="str">
        <f>ORÇAMENTO!A325</f>
        <v>14.1</v>
      </c>
      <c r="B533" s="12" t="str">
        <f>ORÇAMENTO!B325</f>
        <v>GOINFRA</v>
      </c>
      <c r="C533" s="13">
        <f>ORÇAMENTO!C325</f>
        <v>170103</v>
      </c>
      <c r="D533" s="52" t="str">
        <f>ORÇAMENTO!D325</f>
        <v xml:space="preserve">PORTA LISA 80x210 C/PORTAL E ALISAR S/FERRAGENS </v>
      </c>
      <c r="E533" s="13" t="str">
        <f>ORÇAMENTO!F325</f>
        <v>und.</v>
      </c>
      <c r="F533" s="579" t="s">
        <v>67</v>
      </c>
      <c r="G533" s="580"/>
      <c r="H533" s="580"/>
      <c r="I533" s="581"/>
      <c r="J533" s="53" t="s">
        <v>65</v>
      </c>
    </row>
    <row r="534" spans="1:10" x14ac:dyDescent="0.3">
      <c r="A534" s="119"/>
      <c r="B534" s="12"/>
      <c r="C534" s="13"/>
      <c r="D534" s="52" t="s">
        <v>875</v>
      </c>
      <c r="E534" s="13"/>
      <c r="F534" s="579">
        <v>1</v>
      </c>
      <c r="G534" s="580"/>
      <c r="H534" s="580"/>
      <c r="I534" s="581"/>
      <c r="J534" s="53">
        <f t="shared" ref="J534:J541" si="17">F534</f>
        <v>1</v>
      </c>
    </row>
    <row r="535" spans="1:10" x14ac:dyDescent="0.3">
      <c r="A535" s="119"/>
      <c r="B535" s="12"/>
      <c r="C535" s="13"/>
      <c r="D535" s="52" t="s">
        <v>876</v>
      </c>
      <c r="E535" s="13"/>
      <c r="F535" s="579">
        <v>1</v>
      </c>
      <c r="G535" s="580"/>
      <c r="H535" s="580"/>
      <c r="I535" s="581"/>
      <c r="J535" s="53">
        <f t="shared" si="17"/>
        <v>1</v>
      </c>
    </row>
    <row r="536" spans="1:10" x14ac:dyDescent="0.3">
      <c r="A536" s="119"/>
      <c r="B536" s="12"/>
      <c r="C536" s="13"/>
      <c r="D536" s="52" t="s">
        <v>877</v>
      </c>
      <c r="E536" s="13"/>
      <c r="F536" s="579">
        <v>1</v>
      </c>
      <c r="G536" s="580"/>
      <c r="H536" s="580"/>
      <c r="I536" s="581"/>
      <c r="J536" s="53">
        <f t="shared" si="17"/>
        <v>1</v>
      </c>
    </row>
    <row r="537" spans="1:10" x14ac:dyDescent="0.3">
      <c r="A537" s="119"/>
      <c r="B537" s="12"/>
      <c r="C537" s="13"/>
      <c r="D537" s="52" t="s">
        <v>878</v>
      </c>
      <c r="E537" s="13"/>
      <c r="F537" s="579">
        <v>1</v>
      </c>
      <c r="G537" s="580"/>
      <c r="H537" s="580"/>
      <c r="I537" s="581"/>
      <c r="J537" s="53">
        <f t="shared" si="17"/>
        <v>1</v>
      </c>
    </row>
    <row r="538" spans="1:10" x14ac:dyDescent="0.3">
      <c r="A538" s="119"/>
      <c r="B538" s="12"/>
      <c r="C538" s="13"/>
      <c r="D538" s="52" t="s">
        <v>879</v>
      </c>
      <c r="E538" s="13"/>
      <c r="F538" s="579">
        <v>1</v>
      </c>
      <c r="G538" s="580"/>
      <c r="H538" s="580"/>
      <c r="I538" s="581"/>
      <c r="J538" s="53">
        <f t="shared" si="17"/>
        <v>1</v>
      </c>
    </row>
    <row r="539" spans="1:10" x14ac:dyDescent="0.3">
      <c r="A539" s="119"/>
      <c r="B539" s="12"/>
      <c r="C539" s="13"/>
      <c r="D539" s="52" t="s">
        <v>356</v>
      </c>
      <c r="E539" s="13"/>
      <c r="F539" s="579">
        <v>1</v>
      </c>
      <c r="G539" s="580"/>
      <c r="H539" s="580"/>
      <c r="I539" s="581"/>
      <c r="J539" s="53">
        <f t="shared" si="17"/>
        <v>1</v>
      </c>
    </row>
    <row r="540" spans="1:10" x14ac:dyDescent="0.3">
      <c r="A540" s="119"/>
      <c r="B540" s="12"/>
      <c r="C540" s="13"/>
      <c r="D540" s="52" t="s">
        <v>356</v>
      </c>
      <c r="E540" s="13"/>
      <c r="F540" s="579">
        <v>1</v>
      </c>
      <c r="G540" s="580"/>
      <c r="H540" s="580"/>
      <c r="I540" s="581"/>
      <c r="J540" s="53">
        <f t="shared" si="17"/>
        <v>1</v>
      </c>
    </row>
    <row r="541" spans="1:10" x14ac:dyDescent="0.3">
      <c r="A541" s="119"/>
      <c r="B541" s="12"/>
      <c r="C541" s="13"/>
      <c r="D541" s="52" t="s">
        <v>567</v>
      </c>
      <c r="E541" s="13"/>
      <c r="F541" s="579">
        <v>1</v>
      </c>
      <c r="G541" s="580"/>
      <c r="H541" s="580"/>
      <c r="I541" s="581"/>
      <c r="J541" s="53">
        <f t="shared" si="17"/>
        <v>1</v>
      </c>
    </row>
    <row r="542" spans="1:10" ht="15" thickBot="1" x14ac:dyDescent="0.35">
      <c r="A542" s="559" t="s">
        <v>58</v>
      </c>
      <c r="B542" s="560"/>
      <c r="C542" s="560"/>
      <c r="D542" s="560"/>
      <c r="E542" s="560"/>
      <c r="F542" s="560"/>
      <c r="G542" s="560"/>
      <c r="H542" s="560"/>
      <c r="I542" s="561"/>
      <c r="J542" s="221">
        <f>SUM(J534:J541)</f>
        <v>8</v>
      </c>
    </row>
    <row r="543" spans="1:10" x14ac:dyDescent="0.3">
      <c r="A543" s="215" t="str">
        <f>ORÇAMENTO!A326</f>
        <v>14.2</v>
      </c>
      <c r="B543" s="218" t="str">
        <f>ORÇAMENTO!B326</f>
        <v>GOINFRA</v>
      </c>
      <c r="C543" s="216">
        <f>ORÇAMENTO!C326</f>
        <v>170102</v>
      </c>
      <c r="D543" s="219" t="str">
        <f>ORÇAMENTO!D326</f>
        <v>PORTA LISA 70x210 C/PORTAL E ALISAR S/FERRAGENS</v>
      </c>
      <c r="E543" s="216" t="str">
        <f>ORÇAMENTO!F326</f>
        <v>und.</v>
      </c>
      <c r="F543" s="570" t="s">
        <v>67</v>
      </c>
      <c r="G543" s="594"/>
      <c r="H543" s="594"/>
      <c r="I543" s="571"/>
      <c r="J543" s="229" t="s">
        <v>65</v>
      </c>
    </row>
    <row r="544" spans="1:10" x14ac:dyDescent="0.3">
      <c r="A544" s="119"/>
      <c r="B544" s="12"/>
      <c r="C544" s="13"/>
      <c r="D544" s="52" t="s">
        <v>635</v>
      </c>
      <c r="E544" s="13"/>
      <c r="F544" s="579">
        <v>1</v>
      </c>
      <c r="G544" s="580"/>
      <c r="H544" s="580"/>
      <c r="I544" s="581"/>
      <c r="J544" s="53">
        <f>F544</f>
        <v>1</v>
      </c>
    </row>
    <row r="545" spans="1:14" ht="15" thickBot="1" x14ac:dyDescent="0.35">
      <c r="A545" s="559" t="s">
        <v>58</v>
      </c>
      <c r="B545" s="560"/>
      <c r="C545" s="560"/>
      <c r="D545" s="560"/>
      <c r="E545" s="560"/>
      <c r="F545" s="560"/>
      <c r="G545" s="560"/>
      <c r="H545" s="560"/>
      <c r="I545" s="561"/>
      <c r="J545" s="221">
        <f>SUM(J544:J544)</f>
        <v>1</v>
      </c>
    </row>
    <row r="546" spans="1:14" ht="15" thickBot="1" x14ac:dyDescent="0.35">
      <c r="A546" s="582" t="s">
        <v>44</v>
      </c>
      <c r="B546" s="583"/>
      <c r="C546" s="583"/>
      <c r="D546" s="583"/>
      <c r="E546" s="583"/>
      <c r="F546" s="583"/>
      <c r="G546" s="583"/>
      <c r="H546" s="583"/>
      <c r="I546" s="583"/>
      <c r="J546" s="584"/>
    </row>
    <row r="547" spans="1:14" x14ac:dyDescent="0.3">
      <c r="A547" s="309">
        <v>15</v>
      </c>
      <c r="B547" s="310" t="s">
        <v>11</v>
      </c>
      <c r="C547" s="311">
        <v>180000</v>
      </c>
      <c r="D547" s="624" t="s">
        <v>45</v>
      </c>
      <c r="E547" s="625"/>
      <c r="F547" s="625"/>
      <c r="G547" s="625"/>
      <c r="H547" s="625"/>
      <c r="I547" s="625"/>
      <c r="J547" s="312"/>
    </row>
    <row r="548" spans="1:14" x14ac:dyDescent="0.3">
      <c r="A548" s="119" t="str">
        <f>ORÇAMENTO!A330</f>
        <v>15.1</v>
      </c>
      <c r="B548" s="12" t="str">
        <f>ORÇAMENTO!B330</f>
        <v>GOINFRA</v>
      </c>
      <c r="C548" s="13">
        <f>ORÇAMENTO!C330</f>
        <v>180303</v>
      </c>
      <c r="D548" s="151" t="str">
        <f>ORÇAMENTO!D330</f>
        <v>PORTA DE ENROLAR C/FERRAGENS</v>
      </c>
      <c r="E548" s="13" t="str">
        <f>ORÇAMENTO!F330</f>
        <v>m2</v>
      </c>
      <c r="F548" s="579" t="s">
        <v>66</v>
      </c>
      <c r="G548" s="580"/>
      <c r="H548" s="580" t="s">
        <v>67</v>
      </c>
      <c r="I548" s="581"/>
      <c r="J548" s="53" t="s">
        <v>65</v>
      </c>
    </row>
    <row r="549" spans="1:14" x14ac:dyDescent="0.3">
      <c r="A549" s="119"/>
      <c r="B549" s="12"/>
      <c r="C549" s="13"/>
      <c r="D549" s="151" t="str">
        <f>D525</f>
        <v>Box Atacadista</v>
      </c>
      <c r="E549" s="13"/>
      <c r="F549" s="565" t="s">
        <v>886</v>
      </c>
      <c r="G549" s="567"/>
      <c r="H549" s="579">
        <v>32</v>
      </c>
      <c r="I549" s="581"/>
      <c r="J549" s="53">
        <f>(3.85*2.7)*H549</f>
        <v>332.64000000000004</v>
      </c>
    </row>
    <row r="550" spans="1:14" x14ac:dyDescent="0.3">
      <c r="A550" s="161"/>
      <c r="B550" s="55"/>
      <c r="C550" s="56"/>
      <c r="D550" s="213" t="str">
        <f>D529</f>
        <v>Câmara Fria</v>
      </c>
      <c r="E550" s="56"/>
      <c r="F550" s="684" t="s">
        <v>887</v>
      </c>
      <c r="G550" s="685"/>
      <c r="H550" s="659">
        <v>1</v>
      </c>
      <c r="I550" s="660"/>
      <c r="J550" s="240">
        <f>(1.5*2.1)+(2*2.1)</f>
        <v>7.3500000000000005</v>
      </c>
    </row>
    <row r="551" spans="1:14" s="214" customFormat="1" x14ac:dyDescent="0.3">
      <c r="A551" s="119"/>
      <c r="B551" s="12"/>
      <c r="C551" s="13"/>
      <c r="D551" s="52" t="s">
        <v>884</v>
      </c>
      <c r="E551" s="13"/>
      <c r="F551" s="565" t="s">
        <v>885</v>
      </c>
      <c r="G551" s="567"/>
      <c r="H551" s="579">
        <v>2</v>
      </c>
      <c r="I551" s="581"/>
      <c r="J551" s="53">
        <f>(2.9*1.1)*2</f>
        <v>6.38</v>
      </c>
      <c r="K551"/>
      <c r="L551"/>
      <c r="M551"/>
      <c r="N551"/>
    </row>
    <row r="552" spans="1:14" ht="15" thickBot="1" x14ac:dyDescent="0.35">
      <c r="A552" s="656" t="s">
        <v>58</v>
      </c>
      <c r="B552" s="657"/>
      <c r="C552" s="657"/>
      <c r="D552" s="657"/>
      <c r="E552" s="657"/>
      <c r="F552" s="657"/>
      <c r="G552" s="657"/>
      <c r="H552" s="657"/>
      <c r="I552" s="658"/>
      <c r="J552" s="230">
        <f>SUM(J549:J551)</f>
        <v>346.37000000000006</v>
      </c>
    </row>
    <row r="553" spans="1:14" x14ac:dyDescent="0.3">
      <c r="A553" s="215" t="str">
        <f>ORÇAMENTO!A331</f>
        <v>15.2</v>
      </c>
      <c r="B553" s="218" t="str">
        <f>ORÇAMENTO!B331</f>
        <v>GOINFRA</v>
      </c>
      <c r="C553" s="216">
        <f>ORÇAMENTO!C331</f>
        <v>180401</v>
      </c>
      <c r="D553" s="219" t="str">
        <f>ORÇAMENTO!D331</f>
        <v>ESQ.DE CORRER CHAPA/VIDRO J9/J10/J12/J13 C/FERRAGENS</v>
      </c>
      <c r="E553" s="216" t="str">
        <f>ORÇAMENTO!F331</f>
        <v>m2</v>
      </c>
      <c r="F553" s="568" t="s">
        <v>71</v>
      </c>
      <c r="G553" s="569"/>
      <c r="H553" s="570" t="s">
        <v>79</v>
      </c>
      <c r="I553" s="571"/>
      <c r="J553" s="229" t="s">
        <v>403</v>
      </c>
    </row>
    <row r="554" spans="1:14" x14ac:dyDescent="0.3">
      <c r="A554" s="119"/>
      <c r="B554" s="12"/>
      <c r="C554" s="13"/>
      <c r="D554" s="151" t="s">
        <v>888</v>
      </c>
      <c r="E554" s="13"/>
      <c r="F554" s="565">
        <v>1.5</v>
      </c>
      <c r="G554" s="567"/>
      <c r="H554" s="579">
        <v>1</v>
      </c>
      <c r="I554" s="581"/>
      <c r="J554" s="53">
        <f>F554*H554</f>
        <v>1.5</v>
      </c>
    </row>
    <row r="555" spans="1:14" x14ac:dyDescent="0.3">
      <c r="A555" s="119"/>
      <c r="B555" s="12"/>
      <c r="C555" s="13"/>
      <c r="D555" s="151" t="s">
        <v>456</v>
      </c>
      <c r="E555" s="13"/>
      <c r="F555" s="565">
        <v>1.5</v>
      </c>
      <c r="G555" s="567"/>
      <c r="H555" s="579">
        <v>1</v>
      </c>
      <c r="I555" s="581"/>
      <c r="J555" s="53">
        <f t="shared" ref="J555:J566" si="18">F555*H555</f>
        <v>1.5</v>
      </c>
      <c r="L555" s="64"/>
    </row>
    <row r="556" spans="1:14" x14ac:dyDescent="0.3">
      <c r="A556" s="119"/>
      <c r="B556" s="12"/>
      <c r="C556" s="13"/>
      <c r="D556" s="151" t="s">
        <v>889</v>
      </c>
      <c r="E556" s="13"/>
      <c r="F556" s="565">
        <v>1.5</v>
      </c>
      <c r="G556" s="567"/>
      <c r="H556" s="579">
        <v>1</v>
      </c>
      <c r="I556" s="581"/>
      <c r="J556" s="53">
        <f t="shared" si="18"/>
        <v>1.5</v>
      </c>
    </row>
    <row r="557" spans="1:14" x14ac:dyDescent="0.3">
      <c r="A557" s="119"/>
      <c r="B557" s="12"/>
      <c r="C557" s="13"/>
      <c r="D557" s="151" t="s">
        <v>567</v>
      </c>
      <c r="E557" s="13"/>
      <c r="F557" s="565">
        <v>1.5</v>
      </c>
      <c r="G557" s="567"/>
      <c r="H557" s="579">
        <v>1</v>
      </c>
      <c r="I557" s="581"/>
      <c r="J557" s="53">
        <f t="shared" si="18"/>
        <v>1.5</v>
      </c>
    </row>
    <row r="558" spans="1:14" x14ac:dyDescent="0.3">
      <c r="A558" s="119"/>
      <c r="B558" s="12"/>
      <c r="C558" s="13"/>
      <c r="D558" s="151" t="s">
        <v>765</v>
      </c>
      <c r="E558" s="13"/>
      <c r="F558" s="565">
        <v>1.5</v>
      </c>
      <c r="G558" s="567"/>
      <c r="H558" s="579">
        <v>1</v>
      </c>
      <c r="I558" s="581"/>
      <c r="J558" s="53">
        <f t="shared" si="18"/>
        <v>1.5</v>
      </c>
    </row>
    <row r="559" spans="1:14" x14ac:dyDescent="0.3">
      <c r="A559" s="119"/>
      <c r="B559" s="12"/>
      <c r="C559" s="13"/>
      <c r="D559" s="151" t="s">
        <v>890</v>
      </c>
      <c r="E559" s="13"/>
      <c r="F559" s="565">
        <v>2.1</v>
      </c>
      <c r="G559" s="567"/>
      <c r="H559" s="579">
        <v>1</v>
      </c>
      <c r="I559" s="581"/>
      <c r="J559" s="53">
        <f t="shared" si="18"/>
        <v>2.1</v>
      </c>
    </row>
    <row r="560" spans="1:14" x14ac:dyDescent="0.3">
      <c r="A560" s="119"/>
      <c r="B560" s="12"/>
      <c r="C560" s="13"/>
      <c r="D560" s="151" t="s">
        <v>891</v>
      </c>
      <c r="E560" s="13"/>
      <c r="F560" s="565">
        <v>2.1</v>
      </c>
      <c r="G560" s="567"/>
      <c r="H560" s="579">
        <v>1</v>
      </c>
      <c r="I560" s="581"/>
      <c r="J560" s="53">
        <f t="shared" si="18"/>
        <v>2.1</v>
      </c>
    </row>
    <row r="561" spans="1:10" x14ac:dyDescent="0.3">
      <c r="A561" s="119"/>
      <c r="B561" s="12"/>
      <c r="C561" s="13"/>
      <c r="D561" s="151" t="s">
        <v>356</v>
      </c>
      <c r="E561" s="13"/>
      <c r="F561" s="565">
        <v>2.1</v>
      </c>
      <c r="G561" s="567"/>
      <c r="H561" s="579">
        <v>1</v>
      </c>
      <c r="I561" s="581"/>
      <c r="J561" s="53">
        <f t="shared" si="18"/>
        <v>2.1</v>
      </c>
    </row>
    <row r="562" spans="1:10" x14ac:dyDescent="0.3">
      <c r="A562" s="119"/>
      <c r="B562" s="12"/>
      <c r="C562" s="13"/>
      <c r="D562" s="151" t="s">
        <v>884</v>
      </c>
      <c r="E562" s="13"/>
      <c r="F562" s="565">
        <v>2.1</v>
      </c>
      <c r="G562" s="567"/>
      <c r="H562" s="579">
        <v>1</v>
      </c>
      <c r="I562" s="581"/>
      <c r="J562" s="53">
        <f t="shared" si="18"/>
        <v>2.1</v>
      </c>
    </row>
    <row r="563" spans="1:10" x14ac:dyDescent="0.3">
      <c r="A563" s="119"/>
      <c r="B563" s="12"/>
      <c r="C563" s="13"/>
      <c r="D563" s="151" t="s">
        <v>884</v>
      </c>
      <c r="E563" s="13"/>
      <c r="F563" s="565">
        <v>2.1</v>
      </c>
      <c r="G563" s="567"/>
      <c r="H563" s="579">
        <v>1</v>
      </c>
      <c r="I563" s="581"/>
      <c r="J563" s="53">
        <f t="shared" si="18"/>
        <v>2.1</v>
      </c>
    </row>
    <row r="564" spans="1:10" x14ac:dyDescent="0.3">
      <c r="A564" s="119"/>
      <c r="B564" s="12"/>
      <c r="C564" s="13"/>
      <c r="D564" s="151" t="s">
        <v>356</v>
      </c>
      <c r="E564" s="13"/>
      <c r="F564" s="565">
        <v>2.1</v>
      </c>
      <c r="G564" s="567"/>
      <c r="H564" s="579">
        <v>1</v>
      </c>
      <c r="I564" s="581"/>
      <c r="J564" s="53">
        <f t="shared" si="18"/>
        <v>2.1</v>
      </c>
    </row>
    <row r="565" spans="1:10" x14ac:dyDescent="0.3">
      <c r="A565" s="119"/>
      <c r="B565" s="12"/>
      <c r="C565" s="13"/>
      <c r="D565" s="151" t="s">
        <v>765</v>
      </c>
      <c r="E565" s="13"/>
      <c r="F565" s="565">
        <v>0.7</v>
      </c>
      <c r="G565" s="567"/>
      <c r="H565" s="579">
        <v>1</v>
      </c>
      <c r="I565" s="581"/>
      <c r="J565" s="53">
        <f t="shared" si="18"/>
        <v>0.7</v>
      </c>
    </row>
    <row r="566" spans="1:10" x14ac:dyDescent="0.3">
      <c r="A566" s="119"/>
      <c r="B566" s="12"/>
      <c r="C566" s="13"/>
      <c r="D566" s="151" t="s">
        <v>765</v>
      </c>
      <c r="E566" s="13"/>
      <c r="F566" s="565">
        <v>0.7</v>
      </c>
      <c r="G566" s="567"/>
      <c r="H566" s="579">
        <v>1</v>
      </c>
      <c r="I566" s="581"/>
      <c r="J566" s="53">
        <f t="shared" si="18"/>
        <v>0.7</v>
      </c>
    </row>
    <row r="567" spans="1:10" ht="15" thickBot="1" x14ac:dyDescent="0.35">
      <c r="A567" s="559" t="s">
        <v>58</v>
      </c>
      <c r="B567" s="560"/>
      <c r="C567" s="560"/>
      <c r="D567" s="560"/>
      <c r="E567" s="560"/>
      <c r="F567" s="560"/>
      <c r="G567" s="560"/>
      <c r="H567" s="560"/>
      <c r="I567" s="561"/>
      <c r="J567" s="221">
        <f>SUM(J554:J566)</f>
        <v>21.5</v>
      </c>
    </row>
    <row r="568" spans="1:10" x14ac:dyDescent="0.3">
      <c r="A568" s="215" t="str">
        <f>ORÇAMENTO!A332</f>
        <v>15.3</v>
      </c>
      <c r="B568" s="218" t="str">
        <f>ORÇAMENTO!B332</f>
        <v>GOINFRA</v>
      </c>
      <c r="C568" s="216">
        <f>ORÇAMENTO!C332</f>
        <v>180403</v>
      </c>
      <c r="D568" s="228" t="str">
        <f>ORÇAMENTO!D332</f>
        <v xml:space="preserve">ESQ.MAXIMO AR CHAPA/VIDRO J1/J2/J7/J15 C/FERRAGENS </v>
      </c>
      <c r="E568" s="216" t="str">
        <f>ORÇAMENTO!F332</f>
        <v>m2</v>
      </c>
      <c r="F568" s="568" t="s">
        <v>66</v>
      </c>
      <c r="G568" s="569"/>
      <c r="H568" s="570" t="s">
        <v>892</v>
      </c>
      <c r="I568" s="571"/>
      <c r="J568" s="229" t="s">
        <v>403</v>
      </c>
    </row>
    <row r="569" spans="1:10" x14ac:dyDescent="0.3">
      <c r="A569" s="161"/>
      <c r="B569" s="55"/>
      <c r="C569" s="56"/>
      <c r="D569" s="150" t="s">
        <v>893</v>
      </c>
      <c r="E569" s="65"/>
      <c r="F569" s="565" t="s">
        <v>895</v>
      </c>
      <c r="G569" s="567"/>
      <c r="H569" s="579">
        <v>1</v>
      </c>
      <c r="I569" s="581"/>
      <c r="J569" s="53">
        <f>(0.6*0.6)*H569</f>
        <v>0.36</v>
      </c>
    </row>
    <row r="570" spans="1:10" x14ac:dyDescent="0.3">
      <c r="A570" s="119"/>
      <c r="B570" s="12"/>
      <c r="C570" s="13"/>
      <c r="D570" s="57" t="s">
        <v>876</v>
      </c>
      <c r="E570" s="13"/>
      <c r="F570" s="565" t="s">
        <v>895</v>
      </c>
      <c r="G570" s="567"/>
      <c r="H570" s="579">
        <v>1</v>
      </c>
      <c r="I570" s="581"/>
      <c r="J570" s="53">
        <f t="shared" ref="J570:J573" si="19">(0.6*0.6)*H570</f>
        <v>0.36</v>
      </c>
    </row>
    <row r="571" spans="1:10" x14ac:dyDescent="0.3">
      <c r="A571" s="119"/>
      <c r="B571" s="12"/>
      <c r="C571" s="13"/>
      <c r="D571" s="57" t="s">
        <v>894</v>
      </c>
      <c r="E571" s="13"/>
      <c r="F571" s="565" t="s">
        <v>895</v>
      </c>
      <c r="G571" s="567"/>
      <c r="H571" s="579">
        <v>1</v>
      </c>
      <c r="I571" s="581"/>
      <c r="J571" s="53">
        <f t="shared" si="19"/>
        <v>0.36</v>
      </c>
    </row>
    <row r="572" spans="1:10" x14ac:dyDescent="0.3">
      <c r="A572" s="119"/>
      <c r="B572" s="12"/>
      <c r="C572" s="13"/>
      <c r="D572" s="57" t="str">
        <f>D570</f>
        <v>W.C. Feminino</v>
      </c>
      <c r="E572" s="13"/>
      <c r="F572" s="565" t="s">
        <v>895</v>
      </c>
      <c r="G572" s="567"/>
      <c r="H572" s="579">
        <v>3</v>
      </c>
      <c r="I572" s="581"/>
      <c r="J572" s="53">
        <f>(0.6*0.6)*H572</f>
        <v>1.08</v>
      </c>
    </row>
    <row r="573" spans="1:10" x14ac:dyDescent="0.3">
      <c r="A573" s="119"/>
      <c r="B573" s="12"/>
      <c r="C573" s="13"/>
      <c r="D573" s="57" t="str">
        <f>D572</f>
        <v>W.C. Feminino</v>
      </c>
      <c r="E573" s="13"/>
      <c r="F573" s="565" t="s">
        <v>895</v>
      </c>
      <c r="G573" s="567"/>
      <c r="H573" s="579">
        <v>3</v>
      </c>
      <c r="I573" s="581"/>
      <c r="J573" s="53">
        <f t="shared" si="19"/>
        <v>1.08</v>
      </c>
    </row>
    <row r="574" spans="1:10" ht="15" thickBot="1" x14ac:dyDescent="0.35">
      <c r="A574" s="559" t="s">
        <v>58</v>
      </c>
      <c r="B574" s="560"/>
      <c r="C574" s="560"/>
      <c r="D574" s="560"/>
      <c r="E574" s="560"/>
      <c r="F574" s="560"/>
      <c r="G574" s="560"/>
      <c r="H574" s="560"/>
      <c r="I574" s="561"/>
      <c r="J574" s="221">
        <f>SUM(J569:J573)</f>
        <v>3.24</v>
      </c>
    </row>
    <row r="575" spans="1:10" x14ac:dyDescent="0.3">
      <c r="A575" s="215" t="str">
        <f>ORÇAMENTO!A333</f>
        <v>15.4</v>
      </c>
      <c r="B575" s="218" t="str">
        <f>ORÇAMENTO!B333</f>
        <v>GOINFRA</v>
      </c>
      <c r="C575" s="216">
        <f>ORÇAMENTO!C333</f>
        <v>180506</v>
      </c>
      <c r="D575" s="228" t="str">
        <f>ORÇAMENTO!D333</f>
        <v xml:space="preserve">PORTA DE CORRER/VIDRO (4) FOLHAS PF-6 C/ FERRAGENS </v>
      </c>
      <c r="E575" s="216" t="str">
        <f>ORÇAMENTO!F333</f>
        <v>m2</v>
      </c>
      <c r="F575" s="568" t="s">
        <v>71</v>
      </c>
      <c r="G575" s="569"/>
      <c r="H575" s="570" t="s">
        <v>79</v>
      </c>
      <c r="I575" s="571"/>
      <c r="J575" s="229" t="s">
        <v>403</v>
      </c>
    </row>
    <row r="576" spans="1:10" x14ac:dyDescent="0.3">
      <c r="A576" s="119"/>
      <c r="B576" s="12"/>
      <c r="C576" s="13"/>
      <c r="D576" s="57" t="s">
        <v>456</v>
      </c>
      <c r="E576" s="13"/>
      <c r="F576" s="565">
        <v>2.4</v>
      </c>
      <c r="G576" s="567"/>
      <c r="H576" s="579">
        <v>2.1</v>
      </c>
      <c r="I576" s="581"/>
      <c r="J576" s="53">
        <f>F576*H576</f>
        <v>5.04</v>
      </c>
    </row>
    <row r="577" spans="1:10" ht="15" thickBot="1" x14ac:dyDescent="0.35">
      <c r="A577" s="559" t="s">
        <v>58</v>
      </c>
      <c r="B577" s="560"/>
      <c r="C577" s="560"/>
      <c r="D577" s="560"/>
      <c r="E577" s="560"/>
      <c r="F577" s="560"/>
      <c r="G577" s="560"/>
      <c r="H577" s="560"/>
      <c r="I577" s="561"/>
      <c r="J577" s="221">
        <f>J576</f>
        <v>5.04</v>
      </c>
    </row>
    <row r="578" spans="1:10" x14ac:dyDescent="0.3">
      <c r="A578" s="215" t="str">
        <f>ORÇAMENTO!A334</f>
        <v>15.5</v>
      </c>
      <c r="B578" s="218" t="str">
        <f>ORÇAMENTO!B333</f>
        <v>GOINFRA</v>
      </c>
      <c r="C578" s="216">
        <f>ORÇAMENTO!C334</f>
        <v>180280</v>
      </c>
      <c r="D578" s="219" t="str">
        <f>ORÇAMENTO!D334</f>
        <v xml:space="preserve">PORTAO TELA/TUBO FoGo PT1/PT2 C/FERRAGENS </v>
      </c>
      <c r="E578" s="216" t="str">
        <f>ORÇAMENTO!F332</f>
        <v>m2</v>
      </c>
      <c r="F578" s="568" t="s">
        <v>71</v>
      </c>
      <c r="G578" s="569"/>
      <c r="H578" s="570" t="s">
        <v>79</v>
      </c>
      <c r="I578" s="571"/>
      <c r="J578" s="229" t="s">
        <v>403</v>
      </c>
    </row>
    <row r="579" spans="1:10" x14ac:dyDescent="0.3">
      <c r="A579" s="119"/>
      <c r="B579" s="12"/>
      <c r="C579" s="13"/>
      <c r="D579" s="52" t="s">
        <v>896</v>
      </c>
      <c r="E579" s="13"/>
      <c r="F579" s="565">
        <v>12.84</v>
      </c>
      <c r="G579" s="567"/>
      <c r="H579" s="579">
        <v>2.2000000000000002</v>
      </c>
      <c r="I579" s="581"/>
      <c r="J579" s="53">
        <f>F579*H579</f>
        <v>28.248000000000001</v>
      </c>
    </row>
    <row r="580" spans="1:10" ht="15" thickBot="1" x14ac:dyDescent="0.35">
      <c r="A580" s="559" t="s">
        <v>58</v>
      </c>
      <c r="B580" s="560"/>
      <c r="C580" s="560"/>
      <c r="D580" s="560"/>
      <c r="E580" s="560"/>
      <c r="F580" s="560"/>
      <c r="G580" s="560"/>
      <c r="H580" s="560"/>
      <c r="I580" s="561"/>
      <c r="J580" s="221">
        <f>SUM(J579:J579)</f>
        <v>28.248000000000001</v>
      </c>
    </row>
    <row r="581" spans="1:10" x14ac:dyDescent="0.3">
      <c r="A581" s="215" t="str">
        <f>ORÇAMENTO!A335</f>
        <v>15.6</v>
      </c>
      <c r="B581" s="218" t="str">
        <f>ORÇAMENTO!B335</f>
        <v>GOINFRA</v>
      </c>
      <c r="C581" s="216">
        <f>ORÇAMENTO!C335</f>
        <v>180504</v>
      </c>
      <c r="D581" s="219" t="str">
        <f>ORÇAMENTO!D335</f>
        <v>PORTA ABRIR/VENEZIANA PF-4 C/FERRAGENS</v>
      </c>
      <c r="E581" s="216" t="str">
        <f>ORÇAMENTO!F335</f>
        <v>m2</v>
      </c>
      <c r="F581" s="568" t="s">
        <v>71</v>
      </c>
      <c r="G581" s="569"/>
      <c r="H581" s="570" t="s">
        <v>79</v>
      </c>
      <c r="I581" s="571"/>
      <c r="J581" s="229" t="s">
        <v>403</v>
      </c>
    </row>
    <row r="582" spans="1:10" x14ac:dyDescent="0.3">
      <c r="A582" s="119"/>
      <c r="B582" s="12"/>
      <c r="C582" s="13"/>
      <c r="D582" s="57" t="s">
        <v>393</v>
      </c>
      <c r="E582" s="13"/>
      <c r="F582" s="565">
        <v>0.8</v>
      </c>
      <c r="G582" s="567"/>
      <c r="H582" s="579">
        <v>2.1</v>
      </c>
      <c r="I582" s="581"/>
      <c r="J582" s="53">
        <f>H582*F582</f>
        <v>1.6800000000000002</v>
      </c>
    </row>
    <row r="583" spans="1:10" x14ac:dyDescent="0.3">
      <c r="A583" s="119"/>
      <c r="B583" s="12"/>
      <c r="C583" s="13"/>
      <c r="D583" s="57" t="s">
        <v>884</v>
      </c>
      <c r="E583" s="13"/>
      <c r="F583" s="565">
        <v>0.8</v>
      </c>
      <c r="G583" s="567"/>
      <c r="H583" s="579">
        <v>2.1</v>
      </c>
      <c r="I583" s="581"/>
      <c r="J583" s="53">
        <f t="shared" ref="J583:J589" si="20">H583*F583</f>
        <v>1.6800000000000002</v>
      </c>
    </row>
    <row r="584" spans="1:10" x14ac:dyDescent="0.3">
      <c r="A584" s="119"/>
      <c r="B584" s="12"/>
      <c r="C584" s="13"/>
      <c r="D584" s="52" t="s">
        <v>884</v>
      </c>
      <c r="E584" s="13"/>
      <c r="F584" s="565">
        <v>0.8</v>
      </c>
      <c r="G584" s="567"/>
      <c r="H584" s="579">
        <v>2.1</v>
      </c>
      <c r="I584" s="581"/>
      <c r="J584" s="53">
        <f t="shared" si="20"/>
        <v>1.6800000000000002</v>
      </c>
    </row>
    <row r="585" spans="1:10" x14ac:dyDescent="0.3">
      <c r="A585" s="119"/>
      <c r="B585" s="12"/>
      <c r="C585" s="13"/>
      <c r="D585" s="52" t="s">
        <v>393</v>
      </c>
      <c r="E585" s="13"/>
      <c r="F585" s="565">
        <v>0.8</v>
      </c>
      <c r="G585" s="567"/>
      <c r="H585" s="579">
        <v>2.1</v>
      </c>
      <c r="I585" s="581"/>
      <c r="J585" s="53">
        <f t="shared" si="20"/>
        <v>1.6800000000000002</v>
      </c>
    </row>
    <row r="586" spans="1:10" x14ac:dyDescent="0.3">
      <c r="A586" s="119"/>
      <c r="B586" s="12"/>
      <c r="C586" s="13"/>
      <c r="D586" s="52" t="s">
        <v>899</v>
      </c>
      <c r="E586" s="13"/>
      <c r="F586" s="565">
        <v>0.8</v>
      </c>
      <c r="G586" s="567"/>
      <c r="H586" s="579">
        <v>2.1</v>
      </c>
      <c r="I586" s="581"/>
      <c r="J586" s="53">
        <f t="shared" si="20"/>
        <v>1.6800000000000002</v>
      </c>
    </row>
    <row r="587" spans="1:10" x14ac:dyDescent="0.3">
      <c r="A587" s="119"/>
      <c r="B587" s="12"/>
      <c r="C587" s="13"/>
      <c r="D587" s="52" t="s">
        <v>765</v>
      </c>
      <c r="E587" s="13"/>
      <c r="F587" s="565">
        <v>0.8</v>
      </c>
      <c r="G587" s="567"/>
      <c r="H587" s="579">
        <v>2.1</v>
      </c>
      <c r="I587" s="581"/>
      <c r="J587" s="53">
        <f t="shared" si="20"/>
        <v>1.6800000000000002</v>
      </c>
    </row>
    <row r="588" spans="1:10" x14ac:dyDescent="0.3">
      <c r="A588" s="119"/>
      <c r="B588" s="12"/>
      <c r="C588" s="13"/>
      <c r="D588" s="52" t="s">
        <v>900</v>
      </c>
      <c r="E588" s="13"/>
      <c r="F588" s="565">
        <v>0.8</v>
      </c>
      <c r="G588" s="567"/>
      <c r="H588" s="579">
        <v>2.1</v>
      </c>
      <c r="I588" s="581"/>
      <c r="J588" s="53">
        <f t="shared" si="20"/>
        <v>1.6800000000000002</v>
      </c>
    </row>
    <row r="589" spans="1:10" x14ac:dyDescent="0.3">
      <c r="A589" s="119"/>
      <c r="B589" s="12"/>
      <c r="C589" s="13"/>
      <c r="D589" s="52" t="s">
        <v>765</v>
      </c>
      <c r="E589" s="13"/>
      <c r="F589" s="565">
        <v>0.8</v>
      </c>
      <c r="G589" s="567"/>
      <c r="H589" s="579">
        <v>2.1</v>
      </c>
      <c r="I589" s="581"/>
      <c r="J589" s="53">
        <f t="shared" si="20"/>
        <v>1.6800000000000002</v>
      </c>
    </row>
    <row r="590" spans="1:10" ht="15" thickBot="1" x14ac:dyDescent="0.35">
      <c r="A590" s="559" t="s">
        <v>58</v>
      </c>
      <c r="B590" s="560"/>
      <c r="C590" s="560"/>
      <c r="D590" s="560"/>
      <c r="E590" s="560"/>
      <c r="F590" s="560"/>
      <c r="G590" s="560"/>
      <c r="H590" s="560"/>
      <c r="I590" s="561"/>
      <c r="J590" s="221">
        <f>SUM(J582:J589)</f>
        <v>13.44</v>
      </c>
    </row>
    <row r="591" spans="1:10" x14ac:dyDescent="0.3">
      <c r="A591" s="215" t="str">
        <f>ORÇAMENTO!A336</f>
        <v>15.7</v>
      </c>
      <c r="B591" s="218" t="str">
        <f>ORÇAMENTO!B336</f>
        <v>GOINFRA</v>
      </c>
      <c r="C591" s="216">
        <f>ORÇAMENTO!C336</f>
        <v>180509</v>
      </c>
      <c r="D591" s="219" t="str">
        <f>ORÇAMENTO!D336</f>
        <v xml:space="preserve"> PORTA ABRIR CH.P/WC PF-10 C/FERRAGENS </v>
      </c>
      <c r="E591" s="216" t="str">
        <f>ORÇAMENTO!F333</f>
        <v>m2</v>
      </c>
      <c r="F591" s="568" t="s">
        <v>901</v>
      </c>
      <c r="G591" s="569"/>
      <c r="H591" s="570" t="s">
        <v>67</v>
      </c>
      <c r="I591" s="571"/>
      <c r="J591" s="229" t="s">
        <v>403</v>
      </c>
    </row>
    <row r="592" spans="1:10" x14ac:dyDescent="0.3">
      <c r="A592" s="119"/>
      <c r="B592" s="12"/>
      <c r="C592" s="13"/>
      <c r="D592" s="52" t="s">
        <v>876</v>
      </c>
      <c r="E592" s="13"/>
      <c r="F592" s="565" t="s">
        <v>902</v>
      </c>
      <c r="G592" s="567"/>
      <c r="H592" s="579">
        <v>5</v>
      </c>
      <c r="I592" s="581"/>
      <c r="J592" s="53">
        <f>(0.6*1.8)*H592</f>
        <v>5.4</v>
      </c>
    </row>
    <row r="593" spans="1:10" x14ac:dyDescent="0.3">
      <c r="A593" s="119"/>
      <c r="B593" s="12"/>
      <c r="C593" s="13"/>
      <c r="D593" s="52" t="s">
        <v>897</v>
      </c>
      <c r="E593" s="13"/>
      <c r="F593" s="565" t="s">
        <v>903</v>
      </c>
      <c r="G593" s="567"/>
      <c r="H593" s="579">
        <v>1</v>
      </c>
      <c r="I593" s="581"/>
      <c r="J593" s="53">
        <f>(0.8*2.1)*H593</f>
        <v>1.6800000000000002</v>
      </c>
    </row>
    <row r="594" spans="1:10" x14ac:dyDescent="0.3">
      <c r="A594" s="119"/>
      <c r="B594" s="12"/>
      <c r="C594" s="13"/>
      <c r="D594" s="52" t="s">
        <v>877</v>
      </c>
      <c r="E594" s="13"/>
      <c r="F594" s="565" t="s">
        <v>902</v>
      </c>
      <c r="G594" s="567"/>
      <c r="H594" s="579">
        <v>3</v>
      </c>
      <c r="I594" s="581"/>
      <c r="J594" s="53">
        <f>(0.6*1.8)*3</f>
        <v>3.24</v>
      </c>
    </row>
    <row r="595" spans="1:10" x14ac:dyDescent="0.3">
      <c r="A595" s="119"/>
      <c r="B595" s="12"/>
      <c r="C595" s="13"/>
      <c r="D595" s="52" t="s">
        <v>898</v>
      </c>
      <c r="E595" s="13"/>
      <c r="F595" s="565" t="s">
        <v>903</v>
      </c>
      <c r="G595" s="567"/>
      <c r="H595" s="579">
        <v>1</v>
      </c>
      <c r="I595" s="581"/>
      <c r="J595" s="53">
        <f>(0.8*2.1)*H595</f>
        <v>1.6800000000000002</v>
      </c>
    </row>
    <row r="596" spans="1:10" ht="15" thickBot="1" x14ac:dyDescent="0.35">
      <c r="A596" s="559" t="s">
        <v>58</v>
      </c>
      <c r="B596" s="560"/>
      <c r="C596" s="560"/>
      <c r="D596" s="560"/>
      <c r="E596" s="560"/>
      <c r="F596" s="560"/>
      <c r="G596" s="560"/>
      <c r="H596" s="560"/>
      <c r="I596" s="561"/>
      <c r="J596" s="221">
        <f>SUM(J592:J595)</f>
        <v>12</v>
      </c>
    </row>
    <row r="597" spans="1:10" ht="15" thickBot="1" x14ac:dyDescent="0.35">
      <c r="A597" s="582" t="s">
        <v>46</v>
      </c>
      <c r="B597" s="583"/>
      <c r="C597" s="583"/>
      <c r="D597" s="583"/>
      <c r="E597" s="583"/>
      <c r="F597" s="583"/>
      <c r="G597" s="583"/>
      <c r="H597" s="583"/>
      <c r="I597" s="583"/>
      <c r="J597" s="584"/>
    </row>
    <row r="598" spans="1:10" x14ac:dyDescent="0.3">
      <c r="A598" s="309">
        <v>17</v>
      </c>
      <c r="B598" s="310" t="s">
        <v>11</v>
      </c>
      <c r="C598" s="311">
        <v>200000</v>
      </c>
      <c r="D598" s="624" t="s">
        <v>47</v>
      </c>
      <c r="E598" s="625"/>
      <c r="F598" s="625"/>
      <c r="G598" s="625"/>
      <c r="H598" s="625"/>
      <c r="I598" s="625"/>
      <c r="J598" s="312"/>
    </row>
    <row r="599" spans="1:10" x14ac:dyDescent="0.3">
      <c r="A599" s="170" t="str">
        <f>ORÇAMENTO!A340</f>
        <v>16.1</v>
      </c>
      <c r="B599" s="171" t="str">
        <f>ORÇAMENTO!B340</f>
        <v>GOINFRA</v>
      </c>
      <c r="C599" s="172">
        <f>ORÇAMENTO!C340</f>
        <v>200101</v>
      </c>
      <c r="D599" s="173" t="str">
        <f>ORÇAMENTO!D340</f>
        <v xml:space="preserve">CHAPISCO COMUM </v>
      </c>
      <c r="E599" s="172" t="str">
        <f>ORÇAMENTO!F340</f>
        <v xml:space="preserve">m2 </v>
      </c>
      <c r="F599" s="591" t="s">
        <v>66</v>
      </c>
      <c r="G599" s="592"/>
      <c r="H599" s="602" t="s">
        <v>79</v>
      </c>
      <c r="I599" s="603"/>
      <c r="J599" s="174" t="s">
        <v>65</v>
      </c>
    </row>
    <row r="600" spans="1:10" x14ac:dyDescent="0.3">
      <c r="A600" s="119"/>
      <c r="B600" s="12"/>
      <c r="C600" s="13"/>
      <c r="D600" s="52" t="str">
        <f t="shared" ref="D600:D615" si="21">D427</f>
        <v>Alvenaria dos Boxs</v>
      </c>
      <c r="E600" s="68"/>
      <c r="F600" s="565" t="str">
        <f t="shared" ref="F600:F615" si="22">F427</f>
        <v>(386,82*2)+(96,48*2)+(96*15)+(3,85*7)</v>
      </c>
      <c r="G600" s="567"/>
      <c r="H600" s="579">
        <f t="shared" ref="H600:H615" si="23">H427</f>
        <v>6.03</v>
      </c>
      <c r="I600" s="581"/>
      <c r="J600" s="62">
        <f t="shared" ref="J600:J615" si="24">J427</f>
        <v>14674.306499999999</v>
      </c>
    </row>
    <row r="601" spans="1:10" x14ac:dyDescent="0.3">
      <c r="A601" s="119"/>
      <c r="B601" s="12"/>
      <c r="C601" s="13"/>
      <c r="D601" s="52" t="str">
        <f t="shared" si="21"/>
        <v xml:space="preserve">   Desconto de portas metálicas</v>
      </c>
      <c r="E601" s="68"/>
      <c r="F601" s="565" t="str">
        <f t="shared" si="22"/>
        <v>3,85*32</v>
      </c>
      <c r="G601" s="567"/>
      <c r="H601" s="579">
        <f t="shared" si="23"/>
        <v>2.7</v>
      </c>
      <c r="I601" s="581"/>
      <c r="J601" s="62">
        <f t="shared" si="24"/>
        <v>-332.64000000000004</v>
      </c>
    </row>
    <row r="602" spans="1:10" x14ac:dyDescent="0.3">
      <c r="A602" s="119"/>
      <c r="B602" s="12"/>
      <c r="C602" s="13"/>
      <c r="D602" s="52" t="str">
        <f t="shared" si="21"/>
        <v>Alvenaria Pedra - paredes internas e externas</v>
      </c>
      <c r="E602" s="68"/>
      <c r="F602" s="565" t="str">
        <f t="shared" si="22"/>
        <v>66,45+(4,50*5)+2,25+7,85+(3,27*3)+46,40+ (4,50*5)+3,94+3,86+0,85</v>
      </c>
      <c r="G602" s="567"/>
      <c r="H602" s="579">
        <f t="shared" si="23"/>
        <v>3</v>
      </c>
      <c r="I602" s="581"/>
      <c r="J602" s="62">
        <f t="shared" si="24"/>
        <v>559.23</v>
      </c>
    </row>
    <row r="603" spans="1:10" x14ac:dyDescent="0.3">
      <c r="A603" s="119"/>
      <c r="B603" s="12"/>
      <c r="C603" s="13"/>
      <c r="D603" s="52" t="str">
        <f t="shared" si="21"/>
        <v>Alvenaria Pedra - platibanda</v>
      </c>
      <c r="E603" s="68"/>
      <c r="F603" s="565" t="str">
        <f t="shared" si="22"/>
        <v>66,45+46,40</v>
      </c>
      <c r="G603" s="567"/>
      <c r="H603" s="579">
        <f t="shared" si="23"/>
        <v>1</v>
      </c>
      <c r="I603" s="581"/>
      <c r="J603" s="62">
        <f t="shared" si="24"/>
        <v>112.85</v>
      </c>
    </row>
    <row r="604" spans="1:10" x14ac:dyDescent="0.3">
      <c r="A604" s="119"/>
      <c r="B604" s="12"/>
      <c r="C604" s="13"/>
      <c r="D604" s="52" t="str">
        <f t="shared" si="21"/>
        <v xml:space="preserve">   Desconto de portas 80x210</v>
      </c>
      <c r="E604" s="68"/>
      <c r="F604" s="565" t="str">
        <f t="shared" si="22"/>
        <v>0,80*16</v>
      </c>
      <c r="G604" s="567"/>
      <c r="H604" s="579">
        <f t="shared" si="23"/>
        <v>2.1</v>
      </c>
      <c r="I604" s="581"/>
      <c r="J604" s="62">
        <f t="shared" si="24"/>
        <v>-26.880000000000003</v>
      </c>
    </row>
    <row r="605" spans="1:10" x14ac:dyDescent="0.3">
      <c r="A605" s="119"/>
      <c r="B605" s="12"/>
      <c r="C605" s="13"/>
      <c r="D605" s="52" t="str">
        <f t="shared" si="21"/>
        <v xml:space="preserve">   Desconto de porta de vidro 240 x 210</v>
      </c>
      <c r="E605" s="68"/>
      <c r="F605" s="565">
        <f t="shared" si="22"/>
        <v>2.4</v>
      </c>
      <c r="G605" s="567"/>
      <c r="H605" s="579">
        <f t="shared" si="23"/>
        <v>2.1</v>
      </c>
      <c r="I605" s="581"/>
      <c r="J605" s="62">
        <f t="shared" si="24"/>
        <v>-5.04</v>
      </c>
    </row>
    <row r="606" spans="1:10" x14ac:dyDescent="0.3">
      <c r="A606" s="119"/>
      <c r="B606" s="12"/>
      <c r="C606" s="13"/>
      <c r="D606" s="52" t="str">
        <f t="shared" si="21"/>
        <v xml:space="preserve">   Desconto de janelas </v>
      </c>
      <c r="E606" s="68"/>
      <c r="F606" s="565" t="str">
        <f t="shared" si="22"/>
        <v>(1,50*3)+(2,1*4)+(2,9*2)</v>
      </c>
      <c r="G606" s="567"/>
      <c r="H606" s="579">
        <f t="shared" si="23"/>
        <v>1</v>
      </c>
      <c r="I606" s="581"/>
      <c r="J606" s="62">
        <f t="shared" si="24"/>
        <v>-18.7</v>
      </c>
    </row>
    <row r="607" spans="1:10" x14ac:dyDescent="0.3">
      <c r="A607" s="119"/>
      <c r="B607" s="12"/>
      <c r="C607" s="13"/>
      <c r="D607" s="52" t="str">
        <f t="shared" si="21"/>
        <v xml:space="preserve">   Desconto de janelas </v>
      </c>
      <c r="E607" s="68"/>
      <c r="F607" s="565" t="str">
        <f t="shared" si="22"/>
        <v>(0,6*9)+(2,1*2)+1,5</v>
      </c>
      <c r="G607" s="567"/>
      <c r="H607" s="579">
        <f t="shared" si="23"/>
        <v>0.6</v>
      </c>
      <c r="I607" s="581"/>
      <c r="J607" s="62">
        <f t="shared" si="24"/>
        <v>-6.6599999999999993</v>
      </c>
    </row>
    <row r="608" spans="1:10" x14ac:dyDescent="0.3">
      <c r="A608" s="119"/>
      <c r="B608" s="12"/>
      <c r="C608" s="13"/>
      <c r="D608" s="52" t="str">
        <f t="shared" si="21"/>
        <v xml:space="preserve">Alvenaria Camara fria </v>
      </c>
      <c r="E608" s="68"/>
      <c r="F608" s="565">
        <f t="shared" si="22"/>
        <v>29.2</v>
      </c>
      <c r="G608" s="567"/>
      <c r="H608" s="579">
        <f t="shared" si="23"/>
        <v>3</v>
      </c>
      <c r="I608" s="581"/>
      <c r="J608" s="62">
        <f t="shared" si="24"/>
        <v>87.6</v>
      </c>
    </row>
    <row r="609" spans="1:10" x14ac:dyDescent="0.3">
      <c r="A609" s="119"/>
      <c r="B609" s="12"/>
      <c r="C609" s="13"/>
      <c r="D609" s="52" t="str">
        <f t="shared" si="21"/>
        <v>Alvenaria Camara fria Platibanda</v>
      </c>
      <c r="E609" s="68"/>
      <c r="F609" s="565" t="str">
        <f t="shared" si="22"/>
        <v>29,20+17,30</v>
      </c>
      <c r="G609" s="567"/>
      <c r="H609" s="579">
        <f t="shared" si="23"/>
        <v>0.8</v>
      </c>
      <c r="I609" s="581"/>
      <c r="J609" s="62">
        <f t="shared" si="24"/>
        <v>37.200000000000003</v>
      </c>
    </row>
    <row r="610" spans="1:10" x14ac:dyDescent="0.3">
      <c r="A610" s="119"/>
      <c r="B610" s="12"/>
      <c r="C610" s="13"/>
      <c r="D610" s="52" t="str">
        <f t="shared" si="21"/>
        <v xml:space="preserve">   Desconto de vão</v>
      </c>
      <c r="E610" s="68"/>
      <c r="F610" s="565" t="str">
        <f t="shared" si="22"/>
        <v>2,00+1,50</v>
      </c>
      <c r="G610" s="567"/>
      <c r="H610" s="579">
        <f t="shared" si="23"/>
        <v>2.1</v>
      </c>
      <c r="I610" s="581"/>
      <c r="J610" s="62">
        <f t="shared" si="24"/>
        <v>-7.3500000000000005</v>
      </c>
    </row>
    <row r="611" spans="1:10" x14ac:dyDescent="0.3">
      <c r="A611" s="119"/>
      <c r="B611" s="12"/>
      <c r="C611" s="13"/>
      <c r="D611" s="52" t="str">
        <f t="shared" si="21"/>
        <v>Alvenaria Guarita</v>
      </c>
      <c r="E611" s="68" t="s">
        <v>466</v>
      </c>
      <c r="F611" s="565" t="str">
        <f t="shared" si="22"/>
        <v>13,00+6,00+3,5+3,5+1,55</v>
      </c>
      <c r="G611" s="567"/>
      <c r="H611" s="579">
        <f t="shared" si="23"/>
        <v>2.7</v>
      </c>
      <c r="I611" s="581"/>
      <c r="J611" s="62">
        <f t="shared" si="24"/>
        <v>74.385000000000005</v>
      </c>
    </row>
    <row r="612" spans="1:10" x14ac:dyDescent="0.3">
      <c r="A612" s="119"/>
      <c r="B612" s="12"/>
      <c r="C612" s="13"/>
      <c r="D612" s="52" t="str">
        <f t="shared" si="21"/>
        <v>Alvenaria Guarita Platibanda</v>
      </c>
      <c r="E612" s="68"/>
      <c r="F612" s="565">
        <f t="shared" si="22"/>
        <v>13</v>
      </c>
      <c r="G612" s="567"/>
      <c r="H612" s="579">
        <f t="shared" si="23"/>
        <v>0.8</v>
      </c>
      <c r="I612" s="581"/>
      <c r="J612" s="62">
        <f t="shared" si="24"/>
        <v>10.4</v>
      </c>
    </row>
    <row r="613" spans="1:10" x14ac:dyDescent="0.3">
      <c r="A613" s="119"/>
      <c r="B613" s="12"/>
      <c r="C613" s="13"/>
      <c r="D613" s="52" t="str">
        <f t="shared" si="21"/>
        <v xml:space="preserve">    Desconto de vão de portas</v>
      </c>
      <c r="E613" s="68"/>
      <c r="F613" s="565" t="str">
        <f t="shared" si="22"/>
        <v>1,35+(0,80*2)+0,70</v>
      </c>
      <c r="G613" s="567"/>
      <c r="H613" s="579">
        <f t="shared" si="23"/>
        <v>2.1</v>
      </c>
      <c r="I613" s="581"/>
      <c r="J613" s="62">
        <f t="shared" si="24"/>
        <v>-7.6650000000000009</v>
      </c>
    </row>
    <row r="614" spans="1:10" x14ac:dyDescent="0.3">
      <c r="A614" s="119"/>
      <c r="B614" s="12"/>
      <c r="C614" s="13"/>
      <c r="D614" s="52" t="str">
        <f t="shared" si="21"/>
        <v xml:space="preserve">    Desconto de janelas </v>
      </c>
      <c r="E614" s="68"/>
      <c r="F614" s="565" t="str">
        <f t="shared" si="22"/>
        <v>1,50*(0,70*2)</v>
      </c>
      <c r="G614" s="567"/>
      <c r="H614" s="579">
        <f t="shared" si="23"/>
        <v>1</v>
      </c>
      <c r="I614" s="581"/>
      <c r="J614" s="62">
        <f t="shared" si="24"/>
        <v>-2.0999999999999996</v>
      </c>
    </row>
    <row r="615" spans="1:10" x14ac:dyDescent="0.3">
      <c r="A615" s="119"/>
      <c r="B615" s="12"/>
      <c r="C615" s="13"/>
      <c r="D615" s="52" t="str">
        <f t="shared" si="21"/>
        <v>Alvenaria  Mureta Atacadista</v>
      </c>
      <c r="E615" s="68"/>
      <c r="F615" s="565" t="str">
        <f t="shared" si="22"/>
        <v>((4,62*4)+(84,23*1,1*2))</v>
      </c>
      <c r="G615" s="567"/>
      <c r="H615" s="579">
        <f t="shared" si="23"/>
        <v>1</v>
      </c>
      <c r="I615" s="581"/>
      <c r="J615" s="62">
        <f t="shared" si="24"/>
        <v>203.786</v>
      </c>
    </row>
    <row r="616" spans="1:10" x14ac:dyDescent="0.3">
      <c r="A616" s="595" t="s">
        <v>426</v>
      </c>
      <c r="B616" s="596"/>
      <c r="C616" s="596"/>
      <c r="D616" s="596"/>
      <c r="E616" s="596"/>
      <c r="F616" s="596"/>
      <c r="G616" s="596"/>
      <c r="H616" s="596"/>
      <c r="I616" s="597"/>
      <c r="J616" s="53">
        <f>SUM(J600:J615)*2</f>
        <v>30705.444999999996</v>
      </c>
    </row>
    <row r="617" spans="1:10" ht="15" thickBot="1" x14ac:dyDescent="0.35">
      <c r="A617" s="653" t="str">
        <f>A636</f>
        <v>TOTAL</v>
      </c>
      <c r="B617" s="654"/>
      <c r="C617" s="654"/>
      <c r="D617" s="654"/>
      <c r="E617" s="654"/>
      <c r="F617" s="654"/>
      <c r="G617" s="654"/>
      <c r="H617" s="654"/>
      <c r="I617" s="655"/>
      <c r="J617" s="217">
        <f>J616</f>
        <v>30705.444999999996</v>
      </c>
    </row>
    <row r="618" spans="1:10" x14ac:dyDescent="0.3">
      <c r="A618" s="215" t="str">
        <f>ORÇAMENTO!A341</f>
        <v>16.2</v>
      </c>
      <c r="B618" s="218" t="str">
        <f>ORÇAMENTO!B341</f>
        <v>GOINFRA</v>
      </c>
      <c r="C618" s="216">
        <f>ORÇAMENTO!C341</f>
        <v>200201</v>
      </c>
      <c r="D618" s="219" t="str">
        <f>ORÇAMENTO!D341</f>
        <v xml:space="preserve">EMBOÇO (1CI:4 ARML) </v>
      </c>
      <c r="E618" s="216" t="str">
        <f>ORÇAMENTO!F341</f>
        <v>m2</v>
      </c>
      <c r="F618" s="568" t="s">
        <v>66</v>
      </c>
      <c r="G618" s="569"/>
      <c r="H618" s="570" t="s">
        <v>79</v>
      </c>
      <c r="I618" s="571"/>
      <c r="J618" s="220" t="s">
        <v>65</v>
      </c>
    </row>
    <row r="619" spans="1:10" x14ac:dyDescent="0.3">
      <c r="A619" s="119"/>
      <c r="B619" s="12"/>
      <c r="C619" s="13"/>
      <c r="D619" s="52" t="str">
        <f>D600</f>
        <v>Alvenaria dos Boxs</v>
      </c>
      <c r="E619" s="13"/>
      <c r="F619" s="565" t="str">
        <f>F600</f>
        <v>(386,82*2)+(96,48*2)+(96*15)+(3,85*7)</v>
      </c>
      <c r="G619" s="567"/>
      <c r="H619" s="579">
        <f>H600</f>
        <v>6.03</v>
      </c>
      <c r="I619" s="581"/>
      <c r="J619" s="62">
        <f>J600</f>
        <v>14674.306499999999</v>
      </c>
    </row>
    <row r="620" spans="1:10" x14ac:dyDescent="0.3">
      <c r="A620" s="119"/>
      <c r="B620" s="12"/>
      <c r="C620" s="13"/>
      <c r="D620" s="52" t="str">
        <f t="shared" ref="D620:D634" si="25">D601</f>
        <v xml:space="preserve">   Desconto de portas metálicas</v>
      </c>
      <c r="E620" s="13"/>
      <c r="F620" s="565" t="str">
        <f t="shared" ref="F620:F634" si="26">F601</f>
        <v>3,85*32</v>
      </c>
      <c r="G620" s="567"/>
      <c r="H620" s="579">
        <f t="shared" ref="H620:H634" si="27">H601</f>
        <v>2.7</v>
      </c>
      <c r="I620" s="581"/>
      <c r="J620" s="62">
        <f t="shared" ref="J620:J635" si="28">J601</f>
        <v>-332.64000000000004</v>
      </c>
    </row>
    <row r="621" spans="1:10" x14ac:dyDescent="0.3">
      <c r="A621" s="119"/>
      <c r="B621" s="12"/>
      <c r="C621" s="13"/>
      <c r="D621" s="52" t="str">
        <f t="shared" si="25"/>
        <v>Alvenaria Pedra - paredes internas e externas</v>
      </c>
      <c r="E621" s="13"/>
      <c r="F621" s="565" t="str">
        <f t="shared" si="26"/>
        <v>66,45+(4,50*5)+2,25+7,85+(3,27*3)+46,40+ (4,50*5)+3,94+3,86+0,85</v>
      </c>
      <c r="G621" s="567"/>
      <c r="H621" s="579">
        <f t="shared" si="27"/>
        <v>3</v>
      </c>
      <c r="I621" s="581"/>
      <c r="J621" s="62">
        <f t="shared" si="28"/>
        <v>559.23</v>
      </c>
    </row>
    <row r="622" spans="1:10" x14ac:dyDescent="0.3">
      <c r="A622" s="119"/>
      <c r="B622" s="12"/>
      <c r="C622" s="13"/>
      <c r="D622" s="52" t="str">
        <f t="shared" si="25"/>
        <v>Alvenaria Pedra - platibanda</v>
      </c>
      <c r="E622" s="13"/>
      <c r="F622" s="565" t="str">
        <f t="shared" si="26"/>
        <v>66,45+46,40</v>
      </c>
      <c r="G622" s="567"/>
      <c r="H622" s="579">
        <f t="shared" si="27"/>
        <v>1</v>
      </c>
      <c r="I622" s="581"/>
      <c r="J622" s="62">
        <f t="shared" si="28"/>
        <v>112.85</v>
      </c>
    </row>
    <row r="623" spans="1:10" x14ac:dyDescent="0.3">
      <c r="A623" s="119"/>
      <c r="B623" s="12"/>
      <c r="C623" s="13"/>
      <c r="D623" s="52" t="str">
        <f t="shared" si="25"/>
        <v xml:space="preserve">   Desconto de portas 80x210</v>
      </c>
      <c r="E623" s="13"/>
      <c r="F623" s="565" t="str">
        <f t="shared" si="26"/>
        <v>0,80*16</v>
      </c>
      <c r="G623" s="567"/>
      <c r="H623" s="579">
        <f t="shared" si="27"/>
        <v>2.1</v>
      </c>
      <c r="I623" s="581"/>
      <c r="J623" s="62">
        <f t="shared" si="28"/>
        <v>-26.880000000000003</v>
      </c>
    </row>
    <row r="624" spans="1:10" x14ac:dyDescent="0.3">
      <c r="A624" s="119"/>
      <c r="B624" s="12"/>
      <c r="C624" s="13"/>
      <c r="D624" s="52" t="str">
        <f t="shared" si="25"/>
        <v xml:space="preserve">   Desconto de porta de vidro 240 x 210</v>
      </c>
      <c r="E624" s="13"/>
      <c r="F624" s="565">
        <f t="shared" si="26"/>
        <v>2.4</v>
      </c>
      <c r="G624" s="567"/>
      <c r="H624" s="579">
        <f t="shared" si="27"/>
        <v>2.1</v>
      </c>
      <c r="I624" s="581"/>
      <c r="J624" s="62">
        <f t="shared" si="28"/>
        <v>-5.04</v>
      </c>
    </row>
    <row r="625" spans="1:10" x14ac:dyDescent="0.3">
      <c r="A625" s="119"/>
      <c r="B625" s="12"/>
      <c r="C625" s="13"/>
      <c r="D625" s="52" t="str">
        <f t="shared" si="25"/>
        <v xml:space="preserve">   Desconto de janelas </v>
      </c>
      <c r="E625" s="13"/>
      <c r="F625" s="565" t="str">
        <f t="shared" si="26"/>
        <v>(1,50*3)+(2,1*4)+(2,9*2)</v>
      </c>
      <c r="G625" s="567"/>
      <c r="H625" s="579">
        <f t="shared" si="27"/>
        <v>1</v>
      </c>
      <c r="I625" s="581"/>
      <c r="J625" s="62">
        <f t="shared" si="28"/>
        <v>-18.7</v>
      </c>
    </row>
    <row r="626" spans="1:10" x14ac:dyDescent="0.3">
      <c r="A626" s="119"/>
      <c r="B626" s="12"/>
      <c r="C626" s="13"/>
      <c r="D626" s="52" t="str">
        <f t="shared" si="25"/>
        <v xml:space="preserve">   Desconto de janelas </v>
      </c>
      <c r="E626" s="13"/>
      <c r="F626" s="565" t="str">
        <f t="shared" si="26"/>
        <v>(0,6*9)+(2,1*2)+1,5</v>
      </c>
      <c r="G626" s="567"/>
      <c r="H626" s="579">
        <f t="shared" si="27"/>
        <v>0.6</v>
      </c>
      <c r="I626" s="581"/>
      <c r="J626" s="62">
        <f t="shared" si="28"/>
        <v>-6.6599999999999993</v>
      </c>
    </row>
    <row r="627" spans="1:10" x14ac:dyDescent="0.3">
      <c r="A627" s="119"/>
      <c r="B627" s="12"/>
      <c r="C627" s="13"/>
      <c r="D627" s="52" t="str">
        <f t="shared" si="25"/>
        <v xml:space="preserve">Alvenaria Camara fria </v>
      </c>
      <c r="E627" s="13"/>
      <c r="F627" s="565">
        <f t="shared" si="26"/>
        <v>29.2</v>
      </c>
      <c r="G627" s="567"/>
      <c r="H627" s="579">
        <f t="shared" si="27"/>
        <v>3</v>
      </c>
      <c r="I627" s="581"/>
      <c r="J627" s="62">
        <f t="shared" si="28"/>
        <v>87.6</v>
      </c>
    </row>
    <row r="628" spans="1:10" x14ac:dyDescent="0.3">
      <c r="A628" s="119"/>
      <c r="B628" s="12"/>
      <c r="C628" s="13"/>
      <c r="D628" s="52" t="str">
        <f t="shared" si="25"/>
        <v>Alvenaria Camara fria Platibanda</v>
      </c>
      <c r="E628" s="13"/>
      <c r="F628" s="565" t="str">
        <f t="shared" si="26"/>
        <v>29,20+17,30</v>
      </c>
      <c r="G628" s="567"/>
      <c r="H628" s="579">
        <f t="shared" si="27"/>
        <v>0.8</v>
      </c>
      <c r="I628" s="581"/>
      <c r="J628" s="62">
        <f t="shared" si="28"/>
        <v>37.200000000000003</v>
      </c>
    </row>
    <row r="629" spans="1:10" x14ac:dyDescent="0.3">
      <c r="A629" s="119"/>
      <c r="B629" s="12"/>
      <c r="C629" s="13"/>
      <c r="D629" s="52" t="str">
        <f t="shared" si="25"/>
        <v xml:space="preserve">   Desconto de vão</v>
      </c>
      <c r="E629" s="13"/>
      <c r="F629" s="565" t="str">
        <f t="shared" si="26"/>
        <v>2,00+1,50</v>
      </c>
      <c r="G629" s="567"/>
      <c r="H629" s="579">
        <f t="shared" si="27"/>
        <v>2.1</v>
      </c>
      <c r="I629" s="581"/>
      <c r="J629" s="62">
        <f t="shared" si="28"/>
        <v>-7.3500000000000005</v>
      </c>
    </row>
    <row r="630" spans="1:10" x14ac:dyDescent="0.3">
      <c r="A630" s="119"/>
      <c r="B630" s="12"/>
      <c r="C630" s="13"/>
      <c r="D630" s="52" t="str">
        <f t="shared" si="25"/>
        <v>Alvenaria Guarita</v>
      </c>
      <c r="E630" s="13"/>
      <c r="F630" s="565" t="str">
        <f t="shared" si="26"/>
        <v>13,00+6,00+3,5+3,5+1,55</v>
      </c>
      <c r="G630" s="567"/>
      <c r="H630" s="579">
        <f t="shared" si="27"/>
        <v>2.7</v>
      </c>
      <c r="I630" s="581"/>
      <c r="J630" s="62">
        <f t="shared" si="28"/>
        <v>74.385000000000005</v>
      </c>
    </row>
    <row r="631" spans="1:10" x14ac:dyDescent="0.3">
      <c r="A631" s="119"/>
      <c r="B631" s="12"/>
      <c r="C631" s="13"/>
      <c r="D631" s="52" t="str">
        <f t="shared" si="25"/>
        <v>Alvenaria Guarita Platibanda</v>
      </c>
      <c r="E631" s="68"/>
      <c r="F631" s="565">
        <f t="shared" si="26"/>
        <v>13</v>
      </c>
      <c r="G631" s="567"/>
      <c r="H631" s="579">
        <f t="shared" si="27"/>
        <v>0.8</v>
      </c>
      <c r="I631" s="581"/>
      <c r="J631" s="62">
        <f t="shared" si="28"/>
        <v>10.4</v>
      </c>
    </row>
    <row r="632" spans="1:10" x14ac:dyDescent="0.3">
      <c r="A632" s="119"/>
      <c r="B632" s="12"/>
      <c r="C632" s="13"/>
      <c r="D632" s="52" t="str">
        <f t="shared" si="25"/>
        <v xml:space="preserve">    Desconto de vão de portas</v>
      </c>
      <c r="E632" s="68"/>
      <c r="F632" s="565" t="str">
        <f t="shared" si="26"/>
        <v>1,35+(0,80*2)+0,70</v>
      </c>
      <c r="G632" s="567"/>
      <c r="H632" s="579">
        <f t="shared" si="27"/>
        <v>2.1</v>
      </c>
      <c r="I632" s="581"/>
      <c r="J632" s="62">
        <f t="shared" si="28"/>
        <v>-7.6650000000000009</v>
      </c>
    </row>
    <row r="633" spans="1:10" x14ac:dyDescent="0.3">
      <c r="A633" s="119"/>
      <c r="B633" s="12"/>
      <c r="C633" s="13"/>
      <c r="D633" s="52" t="str">
        <f t="shared" si="25"/>
        <v xml:space="preserve">    Desconto de janelas </v>
      </c>
      <c r="E633" s="68"/>
      <c r="F633" s="565" t="str">
        <f t="shared" si="26"/>
        <v>1,50*(0,70*2)</v>
      </c>
      <c r="G633" s="567"/>
      <c r="H633" s="579">
        <f t="shared" si="27"/>
        <v>1</v>
      </c>
      <c r="I633" s="581"/>
      <c r="J633" s="62">
        <f t="shared" si="28"/>
        <v>-2.0999999999999996</v>
      </c>
    </row>
    <row r="634" spans="1:10" x14ac:dyDescent="0.3">
      <c r="A634" s="119"/>
      <c r="B634" s="12"/>
      <c r="C634" s="13"/>
      <c r="D634" s="52" t="str">
        <f t="shared" si="25"/>
        <v>Alvenaria  Mureta Atacadista</v>
      </c>
      <c r="E634" s="68"/>
      <c r="F634" s="565" t="str">
        <f t="shared" si="26"/>
        <v>((4,62*4)+(84,23*1,1*2))</v>
      </c>
      <c r="G634" s="567"/>
      <c r="H634" s="579">
        <f t="shared" si="27"/>
        <v>1</v>
      </c>
      <c r="I634" s="581"/>
      <c r="J634" s="62">
        <f t="shared" si="28"/>
        <v>203.786</v>
      </c>
    </row>
    <row r="635" spans="1:10" x14ac:dyDescent="0.3">
      <c r="A635" s="650" t="str">
        <f>A616</f>
        <v>Subtotal x 2 faces</v>
      </c>
      <c r="B635" s="651"/>
      <c r="C635" s="651"/>
      <c r="D635" s="651"/>
      <c r="E635" s="651"/>
      <c r="F635" s="651"/>
      <c r="G635" s="651"/>
      <c r="H635" s="651"/>
      <c r="I635" s="652"/>
      <c r="J635" s="62">
        <f t="shared" si="28"/>
        <v>30705.444999999996</v>
      </c>
    </row>
    <row r="636" spans="1:10" ht="15" thickBot="1" x14ac:dyDescent="0.35">
      <c r="A636" s="559" t="s">
        <v>58</v>
      </c>
      <c r="B636" s="560"/>
      <c r="C636" s="560"/>
      <c r="D636" s="560"/>
      <c r="E636" s="560"/>
      <c r="F636" s="560"/>
      <c r="G636" s="560"/>
      <c r="H636" s="560"/>
      <c r="I636" s="561"/>
      <c r="J636" s="221">
        <f>J635</f>
        <v>30705.444999999996</v>
      </c>
    </row>
    <row r="637" spans="1:10" x14ac:dyDescent="0.3">
      <c r="A637" s="215" t="str">
        <f>ORÇAMENTO!A342</f>
        <v>16.3</v>
      </c>
      <c r="B637" s="218" t="str">
        <f>ORÇAMENTO!B342</f>
        <v>GOINFRA</v>
      </c>
      <c r="C637" s="216">
        <f>ORÇAMENTO!C342</f>
        <v>200403</v>
      </c>
      <c r="D637" s="219" t="str">
        <f>ORÇAMENTO!D342</f>
        <v>REBOCO (1 CALH:4 ARFC+100kgCI/M3)</v>
      </c>
      <c r="E637" s="216" t="str">
        <f>ORÇAMENTO!F342</f>
        <v>m2</v>
      </c>
      <c r="F637" s="568" t="s">
        <v>915</v>
      </c>
      <c r="G637" s="569"/>
      <c r="H637" s="570" t="s">
        <v>916</v>
      </c>
      <c r="I637" s="571"/>
      <c r="J637" s="220" t="s">
        <v>65</v>
      </c>
    </row>
    <row r="638" spans="1:10" x14ac:dyDescent="0.3">
      <c r="A638" s="119"/>
      <c r="B638" s="12"/>
      <c r="C638" s="13"/>
      <c r="D638" s="52" t="s">
        <v>914</v>
      </c>
      <c r="E638" s="13"/>
      <c r="F638" s="598">
        <f>J636</f>
        <v>30705.444999999996</v>
      </c>
      <c r="G638" s="598"/>
      <c r="H638" s="598">
        <f>J680</f>
        <v>541.90499999999975</v>
      </c>
      <c r="I638" s="598"/>
      <c r="J638" s="62">
        <f>F638-H638</f>
        <v>30163.539999999997</v>
      </c>
    </row>
    <row r="639" spans="1:10" ht="15" thickBot="1" x14ac:dyDescent="0.35">
      <c r="A639" s="559" t="s">
        <v>58</v>
      </c>
      <c r="B639" s="560"/>
      <c r="C639" s="560"/>
      <c r="D639" s="560"/>
      <c r="E639" s="560"/>
      <c r="F639" s="560"/>
      <c r="G639" s="560"/>
      <c r="H639" s="560"/>
      <c r="I639" s="561"/>
      <c r="J639" s="221">
        <f>SUM(J638)</f>
        <v>30163.539999999997</v>
      </c>
    </row>
    <row r="640" spans="1:10" x14ac:dyDescent="0.3">
      <c r="A640" s="215" t="str">
        <f>ORÇAMENTO!A343</f>
        <v>16.4</v>
      </c>
      <c r="B640" s="218" t="str">
        <f>ORÇAMENTO!B343</f>
        <v>GOINFRA</v>
      </c>
      <c r="C640" s="216">
        <f>ORÇAMENTO!C343</f>
        <v>201302</v>
      </c>
      <c r="D640" s="219" t="str">
        <f>ORÇAMENTO!D343</f>
        <v xml:space="preserve">REVESTIMENTO COM CERÂMICA </v>
      </c>
      <c r="E640" s="216" t="str">
        <f>ORÇAMENTO!F343</f>
        <v>m2</v>
      </c>
      <c r="F640" s="568" t="s">
        <v>71</v>
      </c>
      <c r="G640" s="569"/>
      <c r="H640" s="570" t="s">
        <v>79</v>
      </c>
      <c r="I640" s="571"/>
      <c r="J640" s="220" t="s">
        <v>65</v>
      </c>
    </row>
    <row r="641" spans="1:10" x14ac:dyDescent="0.3">
      <c r="A641" s="119"/>
      <c r="B641" s="12"/>
      <c r="C641" s="13"/>
      <c r="D641" s="57" t="s">
        <v>877</v>
      </c>
      <c r="E641" s="13"/>
      <c r="F641" s="565">
        <v>18.399999999999999</v>
      </c>
      <c r="G641" s="567"/>
      <c r="H641" s="579">
        <v>3</v>
      </c>
      <c r="I641" s="581"/>
      <c r="J641" s="62">
        <f>F641*H641</f>
        <v>55.199999999999996</v>
      </c>
    </row>
    <row r="642" spans="1:10" x14ac:dyDescent="0.3">
      <c r="A642" s="119"/>
      <c r="B642" s="12"/>
      <c r="C642" s="13"/>
      <c r="D642" s="52" t="s">
        <v>391</v>
      </c>
      <c r="E642" s="68"/>
      <c r="F642" s="565">
        <v>0.8</v>
      </c>
      <c r="G642" s="567"/>
      <c r="H642" s="579">
        <v>2.1</v>
      </c>
      <c r="I642" s="581"/>
      <c r="J642" s="62">
        <f>-F642*H642</f>
        <v>-1.6800000000000002</v>
      </c>
    </row>
    <row r="643" spans="1:10" x14ac:dyDescent="0.3">
      <c r="A643" s="119"/>
      <c r="B643" s="12"/>
      <c r="C643" s="13"/>
      <c r="D643" s="52" t="s">
        <v>392</v>
      </c>
      <c r="E643" s="68"/>
      <c r="F643" s="565" t="s">
        <v>904</v>
      </c>
      <c r="G643" s="567"/>
      <c r="H643" s="579">
        <v>0.6</v>
      </c>
      <c r="I643" s="581"/>
      <c r="J643" s="62">
        <f>-3*0.6*H643</f>
        <v>-1.0799999999999998</v>
      </c>
    </row>
    <row r="644" spans="1:10" x14ac:dyDescent="0.3">
      <c r="A644" s="119"/>
      <c r="B644" s="12"/>
      <c r="C644" s="13"/>
      <c r="D644" s="57" t="s">
        <v>898</v>
      </c>
      <c r="E644" s="68"/>
      <c r="F644" s="565">
        <v>7</v>
      </c>
      <c r="G644" s="567"/>
      <c r="H644" s="579">
        <v>3</v>
      </c>
      <c r="I644" s="581"/>
      <c r="J644" s="62">
        <f>F644*H644</f>
        <v>21</v>
      </c>
    </row>
    <row r="645" spans="1:10" x14ac:dyDescent="0.3">
      <c r="A645" s="119"/>
      <c r="B645" s="12"/>
      <c r="C645" s="13"/>
      <c r="D645" s="52" t="s">
        <v>391</v>
      </c>
      <c r="E645" s="68"/>
      <c r="F645" s="565">
        <v>0.8</v>
      </c>
      <c r="G645" s="567"/>
      <c r="H645" s="579">
        <v>2.1</v>
      </c>
      <c r="I645" s="581"/>
      <c r="J645" s="62">
        <f>-F645*H645</f>
        <v>-1.6800000000000002</v>
      </c>
    </row>
    <row r="646" spans="1:10" x14ac:dyDescent="0.3">
      <c r="A646" s="119"/>
      <c r="B646" s="12"/>
      <c r="C646" s="13"/>
      <c r="D646" s="57" t="s">
        <v>876</v>
      </c>
      <c r="E646" s="68"/>
      <c r="F646" s="565">
        <f>F641</f>
        <v>18.399999999999999</v>
      </c>
      <c r="G646" s="567"/>
      <c r="H646" s="579">
        <v>3</v>
      </c>
      <c r="I646" s="581"/>
      <c r="J646" s="62">
        <f>F646*H646</f>
        <v>55.199999999999996</v>
      </c>
    </row>
    <row r="647" spans="1:10" x14ac:dyDescent="0.3">
      <c r="A647" s="119"/>
      <c r="B647" s="12"/>
      <c r="C647" s="13"/>
      <c r="D647" s="52" t="s">
        <v>391</v>
      </c>
      <c r="E647" s="68"/>
      <c r="F647" s="565">
        <v>0.8</v>
      </c>
      <c r="G647" s="567"/>
      <c r="H647" s="579">
        <v>2.1</v>
      </c>
      <c r="I647" s="581"/>
      <c r="J647" s="62">
        <f>-F647*H647</f>
        <v>-1.6800000000000002</v>
      </c>
    </row>
    <row r="648" spans="1:10" x14ac:dyDescent="0.3">
      <c r="A648" s="119"/>
      <c r="B648" s="12"/>
      <c r="C648" s="13"/>
      <c r="D648" s="52" t="s">
        <v>392</v>
      </c>
      <c r="E648" s="68"/>
      <c r="F648" s="565" t="s">
        <v>904</v>
      </c>
      <c r="G648" s="567"/>
      <c r="H648" s="579">
        <v>0.6</v>
      </c>
      <c r="I648" s="581"/>
      <c r="J648" s="62">
        <f>-3*0.6*0.6</f>
        <v>-1.0799999999999998</v>
      </c>
    </row>
    <row r="649" spans="1:10" x14ac:dyDescent="0.3">
      <c r="A649" s="119"/>
      <c r="B649" s="12"/>
      <c r="C649" s="13"/>
      <c r="D649" s="57" t="s">
        <v>897</v>
      </c>
      <c r="E649" s="68"/>
      <c r="F649" s="565">
        <v>7</v>
      </c>
      <c r="G649" s="567"/>
      <c r="H649" s="579">
        <v>3</v>
      </c>
      <c r="I649" s="581"/>
      <c r="J649" s="62">
        <f>F649*H649</f>
        <v>21</v>
      </c>
    </row>
    <row r="650" spans="1:10" x14ac:dyDescent="0.3">
      <c r="A650" s="119"/>
      <c r="B650" s="12"/>
      <c r="C650" s="13"/>
      <c r="D650" s="52" t="s">
        <v>391</v>
      </c>
      <c r="E650" s="68"/>
      <c r="F650" s="565">
        <v>0.8</v>
      </c>
      <c r="G650" s="567"/>
      <c r="H650" s="579">
        <v>2.1</v>
      </c>
      <c r="I650" s="581"/>
      <c r="J650" s="62">
        <f>-F650*H650</f>
        <v>-1.6800000000000002</v>
      </c>
    </row>
    <row r="651" spans="1:10" x14ac:dyDescent="0.3">
      <c r="A651" s="162"/>
      <c r="B651" s="59"/>
      <c r="C651" s="60"/>
      <c r="D651" s="57" t="s">
        <v>884</v>
      </c>
      <c r="E651" s="60"/>
      <c r="F651" s="565">
        <v>14.4</v>
      </c>
      <c r="G651" s="567"/>
      <c r="H651" s="579">
        <v>3</v>
      </c>
      <c r="I651" s="581"/>
      <c r="J651" s="62">
        <f>F651*H651</f>
        <v>43.2</v>
      </c>
    </row>
    <row r="652" spans="1:10" x14ac:dyDescent="0.3">
      <c r="A652" s="119"/>
      <c r="B652" s="12"/>
      <c r="C652" s="13"/>
      <c r="D652" s="52" t="s">
        <v>391</v>
      </c>
      <c r="E652" s="68"/>
      <c r="F652" s="565" t="s">
        <v>905</v>
      </c>
      <c r="G652" s="567"/>
      <c r="H652" s="579">
        <v>2.1</v>
      </c>
      <c r="I652" s="581"/>
      <c r="J652" s="62">
        <f>-2*0.8*H652</f>
        <v>-3.3600000000000003</v>
      </c>
    </row>
    <row r="653" spans="1:10" x14ac:dyDescent="0.3">
      <c r="A653" s="119"/>
      <c r="B653" s="12"/>
      <c r="C653" s="13"/>
      <c r="D653" s="52" t="s">
        <v>392</v>
      </c>
      <c r="E653" s="68"/>
      <c r="F653" s="565" t="s">
        <v>906</v>
      </c>
      <c r="G653" s="567"/>
      <c r="H653" s="579">
        <v>1</v>
      </c>
      <c r="I653" s="581"/>
      <c r="J653" s="62">
        <f>-((2.9*H653)+(2.1*H653))</f>
        <v>-5</v>
      </c>
    </row>
    <row r="654" spans="1:10" x14ac:dyDescent="0.3">
      <c r="A654" s="162"/>
      <c r="B654" s="59"/>
      <c r="C654" s="60"/>
      <c r="D654" s="57" t="s">
        <v>884</v>
      </c>
      <c r="E654" s="60"/>
      <c r="F654" s="565">
        <v>14.4</v>
      </c>
      <c r="G654" s="567"/>
      <c r="H654" s="579">
        <v>3</v>
      </c>
      <c r="I654" s="581"/>
      <c r="J654" s="62">
        <f>F654*H654</f>
        <v>43.2</v>
      </c>
    </row>
    <row r="655" spans="1:10" x14ac:dyDescent="0.3">
      <c r="A655" s="162"/>
      <c r="B655" s="59"/>
      <c r="C655" s="60"/>
      <c r="D655" s="52" t="s">
        <v>391</v>
      </c>
      <c r="E655" s="60"/>
      <c r="F655" s="565" t="s">
        <v>905</v>
      </c>
      <c r="G655" s="567"/>
      <c r="H655" s="579">
        <v>2.1</v>
      </c>
      <c r="I655" s="581"/>
      <c r="J655" s="62">
        <f>-(2*0.8)*H655</f>
        <v>-3.3600000000000003</v>
      </c>
    </row>
    <row r="656" spans="1:10" x14ac:dyDescent="0.3">
      <c r="A656" s="119"/>
      <c r="B656" s="12"/>
      <c r="C656" s="13"/>
      <c r="D656" s="52" t="s">
        <v>392</v>
      </c>
      <c r="E656" s="68"/>
      <c r="F656" s="565" t="s">
        <v>906</v>
      </c>
      <c r="G656" s="567"/>
      <c r="H656" s="579">
        <v>1</v>
      </c>
      <c r="I656" s="581"/>
      <c r="J656" s="62">
        <f>-(2.1+2.9)*H656</f>
        <v>-5</v>
      </c>
    </row>
    <row r="657" spans="1:10" x14ac:dyDescent="0.3">
      <c r="A657" s="119"/>
      <c r="B657" s="12"/>
      <c r="C657" s="13"/>
      <c r="D657" s="57" t="s">
        <v>356</v>
      </c>
      <c r="E657" s="68"/>
      <c r="F657" s="565">
        <v>14.4</v>
      </c>
      <c r="G657" s="567"/>
      <c r="H657" s="579">
        <v>3</v>
      </c>
      <c r="I657" s="581"/>
      <c r="J657" s="62">
        <f>F657*H657</f>
        <v>43.2</v>
      </c>
    </row>
    <row r="658" spans="1:10" x14ac:dyDescent="0.3">
      <c r="A658" s="162"/>
      <c r="B658" s="59"/>
      <c r="C658" s="60"/>
      <c r="D658" s="52" t="s">
        <v>391</v>
      </c>
      <c r="E658" s="60"/>
      <c r="F658" s="565" t="s">
        <v>905</v>
      </c>
      <c r="G658" s="567"/>
      <c r="H658" s="579">
        <v>2.1</v>
      </c>
      <c r="I658" s="581"/>
      <c r="J658" s="62">
        <f>-2*0.8*H658</f>
        <v>-3.3600000000000003</v>
      </c>
    </row>
    <row r="659" spans="1:10" x14ac:dyDescent="0.3">
      <c r="A659" s="162"/>
      <c r="B659" s="59"/>
      <c r="C659" s="60"/>
      <c r="D659" s="52" t="s">
        <v>392</v>
      </c>
      <c r="E659" s="60"/>
      <c r="F659" s="565">
        <v>2.1</v>
      </c>
      <c r="G659" s="567"/>
      <c r="H659" s="579">
        <v>1</v>
      </c>
      <c r="I659" s="581"/>
      <c r="J659" s="62">
        <f>-H659*F659</f>
        <v>-2.1</v>
      </c>
    </row>
    <row r="660" spans="1:10" x14ac:dyDescent="0.3">
      <c r="A660" s="119"/>
      <c r="B660" s="12"/>
      <c r="C660" s="13"/>
      <c r="D660" s="57" t="s">
        <v>356</v>
      </c>
      <c r="E660" s="68"/>
      <c r="F660" s="565">
        <v>14.4</v>
      </c>
      <c r="G660" s="567"/>
      <c r="H660" s="579">
        <v>3</v>
      </c>
      <c r="I660" s="581"/>
      <c r="J660" s="62">
        <f>F660*H660</f>
        <v>43.2</v>
      </c>
    </row>
    <row r="661" spans="1:10" x14ac:dyDescent="0.3">
      <c r="A661" s="119"/>
      <c r="B661" s="12"/>
      <c r="C661" s="13"/>
      <c r="D661" s="52" t="s">
        <v>391</v>
      </c>
      <c r="E661" s="68"/>
      <c r="F661" s="565" t="s">
        <v>905</v>
      </c>
      <c r="G661" s="567"/>
      <c r="H661" s="579">
        <v>2.1</v>
      </c>
      <c r="I661" s="581"/>
      <c r="J661" s="62">
        <f>-2*0.8*H661</f>
        <v>-3.3600000000000003</v>
      </c>
    </row>
    <row r="662" spans="1:10" x14ac:dyDescent="0.3">
      <c r="A662" s="162"/>
      <c r="B662" s="59"/>
      <c r="C662" s="60"/>
      <c r="D662" s="52" t="s">
        <v>392</v>
      </c>
      <c r="E662" s="60"/>
      <c r="F662" s="565">
        <v>2.1</v>
      </c>
      <c r="G662" s="567"/>
      <c r="H662" s="579">
        <v>1</v>
      </c>
      <c r="I662" s="581"/>
      <c r="J662" s="62">
        <f>-F662*H662</f>
        <v>-2.1</v>
      </c>
    </row>
    <row r="663" spans="1:10" x14ac:dyDescent="0.3">
      <c r="A663" s="162"/>
      <c r="B663" s="59"/>
      <c r="C663" s="60"/>
      <c r="D663" s="57" t="s">
        <v>877</v>
      </c>
      <c r="E663" s="60"/>
      <c r="F663" s="565">
        <v>9.5</v>
      </c>
      <c r="G663" s="567"/>
      <c r="H663" s="579">
        <v>3</v>
      </c>
      <c r="I663" s="581"/>
      <c r="J663" s="62">
        <f>F663*H663</f>
        <v>28.5</v>
      </c>
    </row>
    <row r="664" spans="1:10" x14ac:dyDescent="0.3">
      <c r="A664" s="119"/>
      <c r="B664" s="12"/>
      <c r="C664" s="13"/>
      <c r="D664" s="52" t="s">
        <v>391</v>
      </c>
      <c r="E664" s="68"/>
      <c r="F664" s="565">
        <v>0.8</v>
      </c>
      <c r="G664" s="567"/>
      <c r="H664" s="579">
        <v>2.1</v>
      </c>
      <c r="I664" s="581"/>
      <c r="J664" s="62">
        <f>-F664*H664</f>
        <v>-1.6800000000000002</v>
      </c>
    </row>
    <row r="665" spans="1:10" x14ac:dyDescent="0.3">
      <c r="A665" s="119"/>
      <c r="B665" s="12"/>
      <c r="C665" s="13"/>
      <c r="D665" s="52" t="s">
        <v>392</v>
      </c>
      <c r="E665" s="68"/>
      <c r="F665" s="565">
        <v>0.6</v>
      </c>
      <c r="G665" s="567"/>
      <c r="H665" s="579">
        <v>0.6</v>
      </c>
      <c r="I665" s="581"/>
      <c r="J665" s="62">
        <f>-F665*H665</f>
        <v>-0.36</v>
      </c>
    </row>
    <row r="666" spans="1:10" x14ac:dyDescent="0.3">
      <c r="A666" s="162"/>
      <c r="B666" s="59"/>
      <c r="C666" s="60"/>
      <c r="D666" s="57" t="s">
        <v>876</v>
      </c>
      <c r="E666" s="60"/>
      <c r="F666" s="565">
        <v>9.5</v>
      </c>
      <c r="G666" s="567"/>
      <c r="H666" s="579">
        <v>3</v>
      </c>
      <c r="I666" s="581"/>
      <c r="J666" s="62">
        <f>F666*H666</f>
        <v>28.5</v>
      </c>
    </row>
    <row r="667" spans="1:10" x14ac:dyDescent="0.3">
      <c r="A667" s="162"/>
      <c r="B667" s="59"/>
      <c r="C667" s="60"/>
      <c r="D667" s="52" t="s">
        <v>391</v>
      </c>
      <c r="E667" s="60"/>
      <c r="F667" s="565">
        <v>0.8</v>
      </c>
      <c r="G667" s="567"/>
      <c r="H667" s="579">
        <v>2.1</v>
      </c>
      <c r="I667" s="581"/>
      <c r="J667" s="62">
        <f>-F667*H667</f>
        <v>-1.6800000000000002</v>
      </c>
    </row>
    <row r="668" spans="1:10" x14ac:dyDescent="0.3">
      <c r="A668" s="119"/>
      <c r="B668" s="12"/>
      <c r="C668" s="13"/>
      <c r="D668" s="52" t="s">
        <v>392</v>
      </c>
      <c r="E668" s="68"/>
      <c r="F668" s="565">
        <v>0.6</v>
      </c>
      <c r="G668" s="567"/>
      <c r="H668" s="579">
        <v>0.6</v>
      </c>
      <c r="I668" s="581"/>
      <c r="J668" s="62">
        <f>-F668*H668</f>
        <v>-0.36</v>
      </c>
    </row>
    <row r="669" spans="1:10" x14ac:dyDescent="0.3">
      <c r="A669" s="162"/>
      <c r="B669" s="59"/>
      <c r="C669" s="60"/>
      <c r="D669" s="57" t="s">
        <v>907</v>
      </c>
      <c r="E669" s="60"/>
      <c r="F669" s="565">
        <v>21.6</v>
      </c>
      <c r="G669" s="567"/>
      <c r="H669" s="579">
        <v>3</v>
      </c>
      <c r="I669" s="581"/>
      <c r="J669" s="62">
        <f>F669*H669</f>
        <v>64.800000000000011</v>
      </c>
    </row>
    <row r="670" spans="1:10" x14ac:dyDescent="0.3">
      <c r="A670" s="119"/>
      <c r="B670" s="12"/>
      <c r="C670" s="13"/>
      <c r="D670" s="52" t="s">
        <v>391</v>
      </c>
      <c r="E670" s="68"/>
      <c r="F670" s="565">
        <v>0.8</v>
      </c>
      <c r="G670" s="567"/>
      <c r="H670" s="579">
        <v>2.1</v>
      </c>
      <c r="I670" s="581"/>
      <c r="J670" s="62">
        <f>-F670*H670</f>
        <v>-1.6800000000000002</v>
      </c>
    </row>
    <row r="671" spans="1:10" x14ac:dyDescent="0.3">
      <c r="A671" s="119"/>
      <c r="B671" s="12"/>
      <c r="C671" s="13"/>
      <c r="D671" s="52" t="s">
        <v>392</v>
      </c>
      <c r="E671" s="68"/>
      <c r="F671" s="565">
        <v>1.5</v>
      </c>
      <c r="G671" s="567"/>
      <c r="H671" s="579">
        <v>1</v>
      </c>
      <c r="I671" s="581"/>
      <c r="J671" s="62">
        <f>-F671*H671</f>
        <v>-1.5</v>
      </c>
    </row>
    <row r="672" spans="1:10" x14ac:dyDescent="0.3">
      <c r="A672" s="162"/>
      <c r="B672" s="59"/>
      <c r="C672" s="60"/>
      <c r="D672" s="52" t="s">
        <v>392</v>
      </c>
      <c r="E672" s="60"/>
      <c r="F672" s="565">
        <v>0.6</v>
      </c>
      <c r="G672" s="567"/>
      <c r="H672" s="579">
        <v>0.6</v>
      </c>
      <c r="I672" s="581"/>
      <c r="J672" s="62">
        <f>-F672*H672</f>
        <v>-0.36</v>
      </c>
    </row>
    <row r="673" spans="1:10" x14ac:dyDescent="0.3">
      <c r="A673" s="162"/>
      <c r="B673" s="59"/>
      <c r="C673" s="60"/>
      <c r="D673" s="57" t="s">
        <v>908</v>
      </c>
      <c r="E673" s="60"/>
      <c r="F673" s="565" t="s">
        <v>909</v>
      </c>
      <c r="G673" s="567"/>
      <c r="H673" s="579">
        <v>1.5</v>
      </c>
      <c r="I673" s="581"/>
      <c r="J673" s="62">
        <f>3.42*2*1.5</f>
        <v>10.26</v>
      </c>
    </row>
    <row r="674" spans="1:10" x14ac:dyDescent="0.3">
      <c r="A674" s="119"/>
      <c r="B674" s="12"/>
      <c r="C674" s="13"/>
      <c r="D674" s="57" t="s">
        <v>874</v>
      </c>
      <c r="E674" s="68"/>
      <c r="F674" s="565">
        <v>28</v>
      </c>
      <c r="G674" s="567"/>
      <c r="H674" s="579">
        <v>1.5</v>
      </c>
      <c r="I674" s="581"/>
      <c r="J674" s="62">
        <f>F674*H674</f>
        <v>42</v>
      </c>
    </row>
    <row r="675" spans="1:10" x14ac:dyDescent="0.3">
      <c r="A675" s="162"/>
      <c r="B675" s="59"/>
      <c r="C675" s="60"/>
      <c r="D675" s="52" t="s">
        <v>391</v>
      </c>
      <c r="E675" s="60"/>
      <c r="F675" s="565" t="s">
        <v>910</v>
      </c>
      <c r="G675" s="567"/>
      <c r="H675" s="579">
        <v>1.5</v>
      </c>
      <c r="I675" s="581"/>
      <c r="J675" s="62">
        <f>-(1.5+2)*H675</f>
        <v>-5.25</v>
      </c>
    </row>
    <row r="676" spans="1:10" x14ac:dyDescent="0.3">
      <c r="A676" s="119"/>
      <c r="B676" s="12"/>
      <c r="C676" s="13"/>
      <c r="D676" s="57" t="s">
        <v>911</v>
      </c>
      <c r="E676" s="68"/>
      <c r="F676" s="565">
        <v>5.7</v>
      </c>
      <c r="G676" s="567"/>
      <c r="H676" s="579">
        <v>2.65</v>
      </c>
      <c r="I676" s="581"/>
      <c r="J676" s="62">
        <f>F676*H676</f>
        <v>15.105</v>
      </c>
    </row>
    <row r="677" spans="1:10" x14ac:dyDescent="0.3">
      <c r="A677" s="119"/>
      <c r="B677" s="12"/>
      <c r="C677" s="13"/>
      <c r="D677" s="52" t="s">
        <v>391</v>
      </c>
      <c r="E677" s="68"/>
      <c r="F677" s="565">
        <v>0.7</v>
      </c>
      <c r="G677" s="567"/>
      <c r="H677" s="579">
        <v>2.1</v>
      </c>
      <c r="I677" s="581"/>
      <c r="J677" s="62">
        <f>-F677*H677</f>
        <v>-1.47</v>
      </c>
    </row>
    <row r="678" spans="1:10" x14ac:dyDescent="0.3">
      <c r="A678" s="162"/>
      <c r="B678" s="59"/>
      <c r="C678" s="60"/>
      <c r="D678" s="52" t="s">
        <v>392</v>
      </c>
      <c r="E678" s="60"/>
      <c r="F678" s="565">
        <v>1.6</v>
      </c>
      <c r="G678" s="567"/>
      <c r="H678" s="579">
        <v>0.5</v>
      </c>
      <c r="I678" s="581"/>
      <c r="J678" s="62">
        <f>-F678*H678</f>
        <v>-0.8</v>
      </c>
    </row>
    <row r="679" spans="1:10" x14ac:dyDescent="0.3">
      <c r="A679" s="162"/>
      <c r="B679" s="59"/>
      <c r="C679" s="60"/>
      <c r="D679" s="57" t="s">
        <v>912</v>
      </c>
      <c r="E679" s="60"/>
      <c r="F679" s="565" t="s">
        <v>913</v>
      </c>
      <c r="G679" s="567"/>
      <c r="H679" s="579">
        <v>1.5</v>
      </c>
      <c r="I679" s="581"/>
      <c r="J679" s="62">
        <f>(3.3*16)*H679</f>
        <v>79.199999999999989</v>
      </c>
    </row>
    <row r="680" spans="1:10" ht="15" thickBot="1" x14ac:dyDescent="0.35">
      <c r="A680" s="559" t="s">
        <v>58</v>
      </c>
      <c r="B680" s="560"/>
      <c r="C680" s="560"/>
      <c r="D680" s="560"/>
      <c r="E680" s="560"/>
      <c r="F680" s="560"/>
      <c r="G680" s="560"/>
      <c r="H680" s="560"/>
      <c r="I680" s="561"/>
      <c r="J680" s="221">
        <f>SUM(J641:J679)</f>
        <v>541.90499999999975</v>
      </c>
    </row>
    <row r="681" spans="1:10" ht="15" thickBot="1" x14ac:dyDescent="0.35">
      <c r="A681" s="582" t="s">
        <v>48</v>
      </c>
      <c r="B681" s="583"/>
      <c r="C681" s="583"/>
      <c r="D681" s="583"/>
      <c r="E681" s="583"/>
      <c r="F681" s="583"/>
      <c r="G681" s="583"/>
      <c r="H681" s="583"/>
      <c r="I681" s="583"/>
      <c r="J681" s="584"/>
    </row>
    <row r="682" spans="1:10" x14ac:dyDescent="0.3">
      <c r="A682" s="309">
        <v>18</v>
      </c>
      <c r="B682" s="310" t="s">
        <v>11</v>
      </c>
      <c r="C682" s="311">
        <v>210000</v>
      </c>
      <c r="D682" s="624" t="s">
        <v>49</v>
      </c>
      <c r="E682" s="625"/>
      <c r="F682" s="625"/>
      <c r="G682" s="625"/>
      <c r="H682" s="625"/>
      <c r="I682" s="625"/>
      <c r="J682" s="312"/>
    </row>
    <row r="683" spans="1:10" x14ac:dyDescent="0.3">
      <c r="A683" s="119" t="str">
        <f>ORÇAMENTO!A347</f>
        <v>17.1</v>
      </c>
      <c r="B683" s="12" t="str">
        <f>ORÇAMENTO!B347</f>
        <v>GOINFRA</v>
      </c>
      <c r="C683" s="13">
        <f>ORÇAMENTO!C347</f>
        <v>210515</v>
      </c>
      <c r="D683" s="52" t="str">
        <f>ORÇAMENTO!D347</f>
        <v xml:space="preserve">GESSO CORRIDO EM TETO </v>
      </c>
      <c r="E683" s="13" t="str">
        <f>ORÇAMENTO!F347</f>
        <v xml:space="preserve">m2 </v>
      </c>
      <c r="F683" s="579" t="s">
        <v>66</v>
      </c>
      <c r="G683" s="580"/>
      <c r="H683" s="580"/>
      <c r="I683" s="581"/>
      <c r="J683" s="62" t="s">
        <v>65</v>
      </c>
    </row>
    <row r="684" spans="1:10" x14ac:dyDescent="0.3">
      <c r="A684" s="119"/>
      <c r="B684" s="12"/>
      <c r="C684" s="13"/>
      <c r="D684" s="52" t="s">
        <v>893</v>
      </c>
      <c r="E684" s="68"/>
      <c r="F684" s="608">
        <v>4.5</v>
      </c>
      <c r="G684" s="609"/>
      <c r="H684" s="609"/>
      <c r="I684" s="610"/>
      <c r="J684" s="169">
        <f>F684</f>
        <v>4.5</v>
      </c>
    </row>
    <row r="685" spans="1:10" x14ac:dyDescent="0.3">
      <c r="A685" s="119"/>
      <c r="B685" s="12"/>
      <c r="C685" s="13"/>
      <c r="D685" s="52" t="s">
        <v>875</v>
      </c>
      <c r="E685" s="68"/>
      <c r="F685" s="608">
        <v>7.65</v>
      </c>
      <c r="G685" s="609"/>
      <c r="H685" s="609"/>
      <c r="I685" s="610"/>
      <c r="J685" s="169">
        <f t="shared" ref="J685:J706" si="29">F685</f>
        <v>7.65</v>
      </c>
    </row>
    <row r="686" spans="1:10" x14ac:dyDescent="0.3">
      <c r="A686" s="119"/>
      <c r="B686" s="12"/>
      <c r="C686" s="13"/>
      <c r="D686" s="52" t="s">
        <v>877</v>
      </c>
      <c r="E686" s="68"/>
      <c r="F686" s="608">
        <v>5.18</v>
      </c>
      <c r="G686" s="609"/>
      <c r="H686" s="609"/>
      <c r="I686" s="610"/>
      <c r="J686" s="169">
        <f t="shared" si="29"/>
        <v>5.18</v>
      </c>
    </row>
    <row r="687" spans="1:10" x14ac:dyDescent="0.3">
      <c r="A687" s="119"/>
      <c r="B687" s="12"/>
      <c r="C687" s="13"/>
      <c r="D687" s="52" t="s">
        <v>876</v>
      </c>
      <c r="E687" s="68"/>
      <c r="F687" s="608">
        <v>5.18</v>
      </c>
      <c r="G687" s="609"/>
      <c r="H687" s="609"/>
      <c r="I687" s="610"/>
      <c r="J687" s="169">
        <f t="shared" si="29"/>
        <v>5.18</v>
      </c>
    </row>
    <row r="688" spans="1:10" x14ac:dyDescent="0.3">
      <c r="A688" s="119"/>
      <c r="B688" s="12"/>
      <c r="C688" s="13"/>
      <c r="D688" s="52" t="s">
        <v>373</v>
      </c>
      <c r="E688" s="68"/>
      <c r="F688" s="608">
        <v>7.85</v>
      </c>
      <c r="G688" s="609"/>
      <c r="H688" s="609"/>
      <c r="I688" s="610"/>
      <c r="J688" s="169">
        <f t="shared" si="29"/>
        <v>7.85</v>
      </c>
    </row>
    <row r="689" spans="1:10" x14ac:dyDescent="0.3">
      <c r="A689" s="119"/>
      <c r="B689" s="12"/>
      <c r="C689" s="13"/>
      <c r="D689" s="52" t="s">
        <v>397</v>
      </c>
      <c r="E689" s="68"/>
      <c r="F689" s="608">
        <v>12.2</v>
      </c>
      <c r="G689" s="609"/>
      <c r="H689" s="609"/>
      <c r="I689" s="610"/>
      <c r="J689" s="169">
        <f t="shared" si="29"/>
        <v>12.2</v>
      </c>
    </row>
    <row r="690" spans="1:10" x14ac:dyDescent="0.3">
      <c r="A690" s="162"/>
      <c r="B690" s="59"/>
      <c r="C690" s="60"/>
      <c r="D690" s="52" t="s">
        <v>456</v>
      </c>
      <c r="E690" s="60"/>
      <c r="F690" s="608">
        <v>16.8</v>
      </c>
      <c r="G690" s="609"/>
      <c r="H690" s="609"/>
      <c r="I690" s="610"/>
      <c r="J690" s="169">
        <f t="shared" si="29"/>
        <v>16.8</v>
      </c>
    </row>
    <row r="691" spans="1:10" x14ac:dyDescent="0.3">
      <c r="A691" s="119"/>
      <c r="B691" s="12"/>
      <c r="C691" s="13"/>
      <c r="D691" s="52" t="s">
        <v>891</v>
      </c>
      <c r="E691" s="68"/>
      <c r="F691" s="608">
        <v>16.8</v>
      </c>
      <c r="G691" s="609"/>
      <c r="H691" s="609"/>
      <c r="I691" s="610"/>
      <c r="J691" s="169">
        <f t="shared" si="29"/>
        <v>16.8</v>
      </c>
    </row>
    <row r="692" spans="1:10" x14ac:dyDescent="0.3">
      <c r="A692" s="119"/>
      <c r="B692" s="12"/>
      <c r="C692" s="13"/>
      <c r="D692" s="52" t="s">
        <v>567</v>
      </c>
      <c r="E692" s="68"/>
      <c r="F692" s="608">
        <v>12.6</v>
      </c>
      <c r="G692" s="609"/>
      <c r="H692" s="609"/>
      <c r="I692" s="610"/>
      <c r="J692" s="169">
        <f t="shared" si="29"/>
        <v>12.6</v>
      </c>
    </row>
    <row r="693" spans="1:10" x14ac:dyDescent="0.3">
      <c r="A693" s="119"/>
      <c r="B693" s="12"/>
      <c r="C693" s="13"/>
      <c r="D693" s="52" t="s">
        <v>356</v>
      </c>
      <c r="E693" s="68"/>
      <c r="F693" s="608">
        <v>12.6</v>
      </c>
      <c r="G693" s="609"/>
      <c r="H693" s="609"/>
      <c r="I693" s="610"/>
      <c r="J693" s="169">
        <f t="shared" si="29"/>
        <v>12.6</v>
      </c>
    </row>
    <row r="694" spans="1:10" x14ac:dyDescent="0.3">
      <c r="A694" s="119"/>
      <c r="B694" s="12"/>
      <c r="C694" s="13"/>
      <c r="D694" s="52" t="s">
        <v>884</v>
      </c>
      <c r="E694" s="68"/>
      <c r="F694" s="608">
        <v>12.6</v>
      </c>
      <c r="G694" s="609"/>
      <c r="H694" s="609"/>
      <c r="I694" s="610"/>
      <c r="J694" s="169">
        <f t="shared" si="29"/>
        <v>12.6</v>
      </c>
    </row>
    <row r="695" spans="1:10" x14ac:dyDescent="0.3">
      <c r="A695" s="119"/>
      <c r="B695" s="12"/>
      <c r="C695" s="13"/>
      <c r="D695" s="52" t="s">
        <v>884</v>
      </c>
      <c r="E695" s="68"/>
      <c r="F695" s="608">
        <v>12.6</v>
      </c>
      <c r="G695" s="609"/>
      <c r="H695" s="609"/>
      <c r="I695" s="610"/>
      <c r="J695" s="169">
        <f t="shared" si="29"/>
        <v>12.6</v>
      </c>
    </row>
    <row r="696" spans="1:10" x14ac:dyDescent="0.3">
      <c r="A696" s="162"/>
      <c r="B696" s="59"/>
      <c r="C696" s="60"/>
      <c r="D696" s="52" t="s">
        <v>356</v>
      </c>
      <c r="E696" s="60"/>
      <c r="F696" s="608">
        <v>12.6</v>
      </c>
      <c r="G696" s="609"/>
      <c r="H696" s="609"/>
      <c r="I696" s="610"/>
      <c r="J696" s="169">
        <f t="shared" si="29"/>
        <v>12.6</v>
      </c>
    </row>
    <row r="697" spans="1:10" x14ac:dyDescent="0.3">
      <c r="A697" s="119"/>
      <c r="B697" s="12"/>
      <c r="C697" s="13"/>
      <c r="D697" s="52" t="s">
        <v>567</v>
      </c>
      <c r="E697" s="68"/>
      <c r="F697" s="608">
        <v>12.6</v>
      </c>
      <c r="G697" s="609"/>
      <c r="H697" s="609"/>
      <c r="I697" s="610"/>
      <c r="J697" s="169">
        <f t="shared" si="29"/>
        <v>12.6</v>
      </c>
    </row>
    <row r="698" spans="1:10" x14ac:dyDescent="0.3">
      <c r="A698" s="119"/>
      <c r="B698" s="12"/>
      <c r="C698" s="13"/>
      <c r="D698" s="52" t="s">
        <v>876</v>
      </c>
      <c r="E698" s="68"/>
      <c r="F698" s="608">
        <v>17.45</v>
      </c>
      <c r="G698" s="609"/>
      <c r="H698" s="609"/>
      <c r="I698" s="610"/>
      <c r="J698" s="169">
        <f t="shared" si="29"/>
        <v>17.45</v>
      </c>
    </row>
    <row r="699" spans="1:10" x14ac:dyDescent="0.3">
      <c r="A699" s="119"/>
      <c r="B699" s="12"/>
      <c r="C699" s="13"/>
      <c r="D699" s="52" t="s">
        <v>897</v>
      </c>
      <c r="E699" s="68"/>
      <c r="F699" s="608">
        <v>3</v>
      </c>
      <c r="G699" s="609"/>
      <c r="H699" s="609"/>
      <c r="I699" s="610"/>
      <c r="J699" s="169">
        <f t="shared" si="29"/>
        <v>3</v>
      </c>
    </row>
    <row r="700" spans="1:10" x14ac:dyDescent="0.3">
      <c r="A700" s="119"/>
      <c r="B700" s="12"/>
      <c r="C700" s="13"/>
      <c r="D700" s="52" t="s">
        <v>877</v>
      </c>
      <c r="E700" s="68"/>
      <c r="F700" s="608">
        <v>17.45</v>
      </c>
      <c r="G700" s="609"/>
      <c r="H700" s="609"/>
      <c r="I700" s="610"/>
      <c r="J700" s="169">
        <f t="shared" si="29"/>
        <v>17.45</v>
      </c>
    </row>
    <row r="701" spans="1:10" x14ac:dyDescent="0.3">
      <c r="A701" s="119"/>
      <c r="B701" s="12"/>
      <c r="C701" s="13"/>
      <c r="D701" s="52" t="s">
        <v>898</v>
      </c>
      <c r="E701" s="68"/>
      <c r="F701" s="608">
        <v>3</v>
      </c>
      <c r="G701" s="609"/>
      <c r="H701" s="609"/>
      <c r="I701" s="610"/>
      <c r="J701" s="169">
        <f t="shared" si="29"/>
        <v>3</v>
      </c>
    </row>
    <row r="702" spans="1:10" x14ac:dyDescent="0.3">
      <c r="A702" s="162"/>
      <c r="B702" s="59"/>
      <c r="C702" s="60"/>
      <c r="D702" s="57" t="s">
        <v>874</v>
      </c>
      <c r="E702" s="60"/>
      <c r="F702" s="608">
        <v>40</v>
      </c>
      <c r="G702" s="609"/>
      <c r="H702" s="609"/>
      <c r="I702" s="610"/>
      <c r="J702" s="169">
        <f t="shared" si="29"/>
        <v>40</v>
      </c>
    </row>
    <row r="703" spans="1:10" x14ac:dyDescent="0.3">
      <c r="A703" s="119"/>
      <c r="B703" s="12"/>
      <c r="C703" s="13"/>
      <c r="D703" s="52" t="s">
        <v>917</v>
      </c>
      <c r="E703" s="68"/>
      <c r="F703" s="608">
        <v>6.04</v>
      </c>
      <c r="G703" s="609"/>
      <c r="H703" s="609"/>
      <c r="I703" s="610"/>
      <c r="J703" s="169">
        <f t="shared" si="29"/>
        <v>6.04</v>
      </c>
    </row>
    <row r="704" spans="1:10" x14ac:dyDescent="0.3">
      <c r="A704" s="119"/>
      <c r="B704" s="12"/>
      <c r="C704" s="13"/>
      <c r="D704" s="52" t="s">
        <v>918</v>
      </c>
      <c r="E704" s="68"/>
      <c r="F704" s="608">
        <v>2.2200000000000002</v>
      </c>
      <c r="G704" s="609"/>
      <c r="H704" s="609"/>
      <c r="I704" s="610"/>
      <c r="J704" s="169">
        <f t="shared" si="29"/>
        <v>2.2200000000000002</v>
      </c>
    </row>
    <row r="705" spans="1:10" x14ac:dyDescent="0.3">
      <c r="A705" s="119"/>
      <c r="B705" s="12"/>
      <c r="C705" s="13"/>
      <c r="D705" s="52" t="s">
        <v>911</v>
      </c>
      <c r="E705" s="68"/>
      <c r="F705" s="608">
        <v>2.02</v>
      </c>
      <c r="G705" s="609"/>
      <c r="H705" s="609"/>
      <c r="I705" s="610"/>
      <c r="J705" s="169">
        <f t="shared" si="29"/>
        <v>2.02</v>
      </c>
    </row>
    <row r="706" spans="1:10" x14ac:dyDescent="0.3">
      <c r="A706" s="119"/>
      <c r="B706" s="12"/>
      <c r="C706" s="13"/>
      <c r="D706" s="52" t="s">
        <v>919</v>
      </c>
      <c r="E706" s="68"/>
      <c r="F706" s="608">
        <v>6.19</v>
      </c>
      <c r="G706" s="609"/>
      <c r="H706" s="609"/>
      <c r="I706" s="610"/>
      <c r="J706" s="169">
        <f t="shared" si="29"/>
        <v>6.19</v>
      </c>
    </row>
    <row r="707" spans="1:10" ht="15" thickBot="1" x14ac:dyDescent="0.35">
      <c r="A707" s="559" t="s">
        <v>58</v>
      </c>
      <c r="B707" s="560"/>
      <c r="C707" s="560"/>
      <c r="D707" s="560"/>
      <c r="E707" s="560"/>
      <c r="F707" s="560"/>
      <c r="G707" s="560"/>
      <c r="H707" s="560"/>
      <c r="I707" s="561"/>
      <c r="J707" s="221">
        <f>SUM(J684:J706)</f>
        <v>249.12999999999994</v>
      </c>
    </row>
    <row r="708" spans="1:10" ht="15" thickBot="1" x14ac:dyDescent="0.35">
      <c r="A708" s="604" t="s">
        <v>50</v>
      </c>
      <c r="B708" s="605"/>
      <c r="C708" s="605"/>
      <c r="D708" s="605"/>
      <c r="E708" s="605"/>
      <c r="F708" s="605"/>
      <c r="G708" s="605"/>
      <c r="H708" s="605"/>
      <c r="I708" s="605"/>
      <c r="J708" s="606"/>
    </row>
    <row r="709" spans="1:10" x14ac:dyDescent="0.3">
      <c r="A709" s="309">
        <v>19</v>
      </c>
      <c r="B709" s="310" t="s">
        <v>11</v>
      </c>
      <c r="C709" s="311">
        <v>220000</v>
      </c>
      <c r="D709" s="677" t="s">
        <v>51</v>
      </c>
      <c r="E709" s="677"/>
      <c r="F709" s="677"/>
      <c r="G709" s="677"/>
      <c r="H709" s="677"/>
      <c r="I709" s="677"/>
      <c r="J709" s="333"/>
    </row>
    <row r="710" spans="1:10" x14ac:dyDescent="0.3">
      <c r="A710" s="119" t="str">
        <f>ORÇAMENTO!A351</f>
        <v>18.1</v>
      </c>
      <c r="B710" s="12" t="str">
        <f>ORÇAMENTO!B351</f>
        <v>GOINFRA</v>
      </c>
      <c r="C710" s="13">
        <f>ORÇAMENTO!C351</f>
        <v>220050</v>
      </c>
      <c r="D710" s="52" t="str">
        <f>ORÇAMENTO!D351</f>
        <v xml:space="preserve">LASTRO DE CONCRETO REGULARIZADO SEM IMPERMEAB. 1:3:6 ESP= 5CM (BASE) </v>
      </c>
      <c r="E710" s="13" t="str">
        <f>ORÇAMENTO!F351</f>
        <v xml:space="preserve">m2 </v>
      </c>
      <c r="F710" s="598" t="s">
        <v>66</v>
      </c>
      <c r="G710" s="598"/>
      <c r="H710" s="598"/>
      <c r="I710" s="598"/>
      <c r="J710" s="53" t="s">
        <v>65</v>
      </c>
    </row>
    <row r="711" spans="1:10" x14ac:dyDescent="0.3">
      <c r="A711" s="119"/>
      <c r="B711" s="12"/>
      <c r="C711" s="13"/>
      <c r="D711" s="52" t="s">
        <v>921</v>
      </c>
      <c r="E711" s="13"/>
      <c r="F711" s="578" t="s">
        <v>922</v>
      </c>
      <c r="G711" s="578"/>
      <c r="H711" s="578"/>
      <c r="I711" s="578"/>
      <c r="J711" s="53">
        <f>38.07+17.45+3+17.45+3+79.92+38.19</f>
        <v>197.07999999999998</v>
      </c>
    </row>
    <row r="712" spans="1:10" x14ac:dyDescent="0.3">
      <c r="A712" s="119"/>
      <c r="B712" s="12"/>
      <c r="C712" s="13"/>
      <c r="D712" s="52" t="s">
        <v>765</v>
      </c>
      <c r="E712" s="13"/>
      <c r="F712" s="578">
        <v>16.829999999999998</v>
      </c>
      <c r="G712" s="578"/>
      <c r="H712" s="578"/>
      <c r="I712" s="578"/>
      <c r="J712" s="53">
        <f>F712</f>
        <v>16.829999999999998</v>
      </c>
    </row>
    <row r="713" spans="1:10" x14ac:dyDescent="0.3">
      <c r="A713" s="119"/>
      <c r="B713" s="12"/>
      <c r="C713" s="13"/>
      <c r="D713" s="52" t="s">
        <v>874</v>
      </c>
      <c r="E713" s="68"/>
      <c r="F713" s="598" t="s">
        <v>923</v>
      </c>
      <c r="G713" s="598"/>
      <c r="H713" s="598"/>
      <c r="I713" s="598"/>
      <c r="J713" s="53">
        <f>40.52+35</f>
        <v>75.52000000000001</v>
      </c>
    </row>
    <row r="714" spans="1:10" ht="15" thickBot="1" x14ac:dyDescent="0.35">
      <c r="A714" s="575" t="s">
        <v>58</v>
      </c>
      <c r="B714" s="576"/>
      <c r="C714" s="576"/>
      <c r="D714" s="576"/>
      <c r="E714" s="576"/>
      <c r="F714" s="576"/>
      <c r="G714" s="576"/>
      <c r="H714" s="576"/>
      <c r="I714" s="576"/>
      <c r="J714" s="221">
        <f>J711+J712+J713</f>
        <v>289.42999999999995</v>
      </c>
    </row>
    <row r="715" spans="1:10" x14ac:dyDescent="0.3">
      <c r="A715" s="215" t="str">
        <f>ORÇAMENTO!A352</f>
        <v>18.2</v>
      </c>
      <c r="B715" s="218" t="str">
        <f>ORÇAMENTO!B352</f>
        <v>GOINFRA</v>
      </c>
      <c r="C715" s="216">
        <f>ORÇAMENTO!C352</f>
        <v>220104</v>
      </c>
      <c r="D715" s="219" t="str">
        <f>ORÇAMENTO!D352</f>
        <v>PISO EM CONCRETO DESEMPENADO ESPESSURA = 7 CM 1:2,5:3,5</v>
      </c>
      <c r="E715" s="216" t="str">
        <f>ORÇAMENTO!F353</f>
        <v xml:space="preserve">m2 </v>
      </c>
      <c r="F715" s="568" t="str">
        <f>F710</f>
        <v>Área</v>
      </c>
      <c r="G715" s="607"/>
      <c r="H715" s="607"/>
      <c r="I715" s="569"/>
      <c r="J715" s="220" t="s">
        <v>65</v>
      </c>
    </row>
    <row r="716" spans="1:10" x14ac:dyDescent="0.3">
      <c r="A716" s="163"/>
      <c r="B716" s="12"/>
      <c r="C716" s="13"/>
      <c r="D716" s="52" t="s">
        <v>766</v>
      </c>
      <c r="E716" s="13"/>
      <c r="F716" s="565">
        <v>2075.66</v>
      </c>
      <c r="G716" s="566"/>
      <c r="H716" s="566"/>
      <c r="I716" s="567"/>
      <c r="J716" s="62">
        <f>F716</f>
        <v>2075.66</v>
      </c>
    </row>
    <row r="717" spans="1:10" x14ac:dyDescent="0.3">
      <c r="A717" s="163"/>
      <c r="B717" s="12"/>
      <c r="C717" s="13"/>
      <c r="D717" s="52" t="s">
        <v>924</v>
      </c>
      <c r="E717" s="13"/>
      <c r="F717" s="565" t="s">
        <v>925</v>
      </c>
      <c r="G717" s="566"/>
      <c r="H717" s="566"/>
      <c r="I717" s="567"/>
      <c r="J717" s="62">
        <f>32*32</f>
        <v>1024</v>
      </c>
    </row>
    <row r="718" spans="1:10" x14ac:dyDescent="0.3">
      <c r="A718" s="163"/>
      <c r="B718" s="12"/>
      <c r="C718" s="13"/>
      <c r="D718" s="52" t="s">
        <v>926</v>
      </c>
      <c r="E718" s="68"/>
      <c r="F718" s="579">
        <v>545.44000000000005</v>
      </c>
      <c r="G718" s="580"/>
      <c r="H718" s="580"/>
      <c r="I718" s="581"/>
      <c r="J718" s="53">
        <v>545.44000000000005</v>
      </c>
    </row>
    <row r="719" spans="1:10" ht="15" thickBot="1" x14ac:dyDescent="0.35">
      <c r="A719" s="572" t="s">
        <v>58</v>
      </c>
      <c r="B719" s="573"/>
      <c r="C719" s="573"/>
      <c r="D719" s="573"/>
      <c r="E719" s="573"/>
      <c r="F719" s="573"/>
      <c r="G719" s="573"/>
      <c r="H719" s="573"/>
      <c r="I719" s="574"/>
      <c r="J719" s="166">
        <f>J716+J717+J718</f>
        <v>3645.1</v>
      </c>
    </row>
    <row r="720" spans="1:10" x14ac:dyDescent="0.3">
      <c r="A720" s="215" t="str">
        <f>ORÇAMENTO!A353</f>
        <v>18.3</v>
      </c>
      <c r="B720" s="218" t="str">
        <f>ORÇAMENTO!B353</f>
        <v>GOINFRA</v>
      </c>
      <c r="C720" s="216">
        <f>ORÇAMENTO!C353</f>
        <v>220201</v>
      </c>
      <c r="D720" s="219" t="str">
        <f>ORÇAMENTO!D353</f>
        <v xml:space="preserve">CIMENT.LISO IMP.NATURAL E=2CM C/JUNTA PL.1CI:3ARMG </v>
      </c>
      <c r="E720" s="216" t="str">
        <f>ORÇAMENTO!F354</f>
        <v>m2</v>
      </c>
      <c r="F720" s="562" t="s">
        <v>66</v>
      </c>
      <c r="G720" s="562"/>
      <c r="H720" s="562"/>
      <c r="I720" s="562"/>
      <c r="J720" s="229" t="s">
        <v>65</v>
      </c>
    </row>
    <row r="721" spans="1:10" x14ac:dyDescent="0.3">
      <c r="A721" s="119"/>
      <c r="B721" s="12"/>
      <c r="C721" s="13"/>
      <c r="D721" s="52" t="s">
        <v>926</v>
      </c>
      <c r="E721" s="68"/>
      <c r="F721" s="598">
        <v>545.44000000000005</v>
      </c>
      <c r="G721" s="598"/>
      <c r="H721" s="598"/>
      <c r="I721" s="598"/>
      <c r="J721" s="53">
        <f>F721</f>
        <v>545.44000000000005</v>
      </c>
    </row>
    <row r="722" spans="1:10" ht="15" thickBot="1" x14ac:dyDescent="0.35">
      <c r="A722" s="575" t="s">
        <v>58</v>
      </c>
      <c r="B722" s="576"/>
      <c r="C722" s="576"/>
      <c r="D722" s="576"/>
      <c r="E722" s="576"/>
      <c r="F722" s="576"/>
      <c r="G722" s="576"/>
      <c r="H722" s="576"/>
      <c r="I722" s="576"/>
      <c r="J722" s="221">
        <f>SUM(J721:J721)</f>
        <v>545.44000000000005</v>
      </c>
    </row>
    <row r="723" spans="1:10" ht="28.8" x14ac:dyDescent="0.3">
      <c r="A723" s="215" t="str">
        <f>ORÇAMENTO!A354</f>
        <v>18.4</v>
      </c>
      <c r="B723" s="216" t="str">
        <f>ORÇAMENTO!B354</f>
        <v>GOINFRA</v>
      </c>
      <c r="C723" s="216">
        <f>ORÇAMENTO!C354</f>
        <v>220100</v>
      </c>
      <c r="D723" s="222" t="str">
        <f>ORÇAMENTO!D354</f>
        <v xml:space="preserve"> PASSEIO PROTECAO EM CONC.DESEMPEN.5 CM 1:2,5:3,5 ( INCLUSO ESPELHO DE 30CM/ESCAVAÇÃO/REATERRO/APILOAMENTO/ATERRO INTERNO)</v>
      </c>
      <c r="E723" s="216" t="str">
        <f>ORÇAMENTO!F354</f>
        <v>m2</v>
      </c>
      <c r="F723" s="612" t="s">
        <v>66</v>
      </c>
      <c r="G723" s="613"/>
      <c r="H723" s="613"/>
      <c r="I723" s="614"/>
      <c r="J723" s="220" t="s">
        <v>65</v>
      </c>
    </row>
    <row r="724" spans="1:10" x14ac:dyDescent="0.3">
      <c r="A724" s="276"/>
      <c r="B724" s="210"/>
      <c r="C724" s="210"/>
      <c r="D724" s="224" t="s">
        <v>927</v>
      </c>
      <c r="E724" s="210"/>
      <c r="F724" s="615" t="s">
        <v>930</v>
      </c>
      <c r="G724" s="616"/>
      <c r="H724" s="616"/>
      <c r="I724" s="617"/>
      <c r="J724" s="62">
        <f>(99.94+82.08+38.96+19.04+41.79+4.08+14.17+3.88+5.28+68.39+80.91+1.93+26.87+2.43+58.37)*1.2</f>
        <v>657.74400000000003</v>
      </c>
    </row>
    <row r="725" spans="1:10" x14ac:dyDescent="0.3">
      <c r="A725" s="276"/>
      <c r="B725" s="210"/>
      <c r="C725" s="210"/>
      <c r="D725" s="224" t="s">
        <v>928</v>
      </c>
      <c r="E725" s="210"/>
      <c r="F725" s="618" t="s">
        <v>929</v>
      </c>
      <c r="G725" s="589"/>
      <c r="H725" s="589"/>
      <c r="I725" s="590"/>
      <c r="J725" s="62">
        <f>(7.32+7.32+6.33+6.33)*1</f>
        <v>27.299999999999997</v>
      </c>
    </row>
    <row r="726" spans="1:10" ht="15" thickBot="1" x14ac:dyDescent="0.35">
      <c r="A726" s="277"/>
      <c r="B726" s="223"/>
      <c r="C726" s="223"/>
      <c r="D726" s="289"/>
      <c r="E726" s="223"/>
      <c r="F726" s="619"/>
      <c r="G726" s="620"/>
      <c r="H726" s="620"/>
      <c r="I726" s="621"/>
      <c r="J726" s="217">
        <f>J724+J725</f>
        <v>685.04399999999998</v>
      </c>
    </row>
    <row r="727" spans="1:10" x14ac:dyDescent="0.3">
      <c r="A727" s="215" t="str">
        <f>ORÇAMENTO!A355</f>
        <v>18.5</v>
      </c>
      <c r="B727" s="218" t="str">
        <f>ORÇAMENTO!B355</f>
        <v>GOINFRA</v>
      </c>
      <c r="C727" s="216">
        <f>ORÇAMENTO!C355</f>
        <v>221101</v>
      </c>
      <c r="D727" s="219" t="str">
        <f>ORÇAMENTO!D355</f>
        <v xml:space="preserve">GRANITINA 8MM FUNDIDA COM CONTRAPISO (1CI:3ARML) E=2CM E JUNTA PLASTICA 27MM </v>
      </c>
      <c r="E727" s="216" t="str">
        <f>ORÇAMENTO!F355</f>
        <v xml:space="preserve">m2 </v>
      </c>
      <c r="F727" s="570" t="s">
        <v>66</v>
      </c>
      <c r="G727" s="594"/>
      <c r="H727" s="594"/>
      <c r="I727" s="571"/>
      <c r="J727" s="220" t="s">
        <v>65</v>
      </c>
    </row>
    <row r="728" spans="1:10" x14ac:dyDescent="0.3">
      <c r="A728" s="163"/>
      <c r="B728" s="12"/>
      <c r="C728" s="13"/>
      <c r="D728" s="52" t="str">
        <f>D711</f>
        <v>Administrativo Feira de Varejo</v>
      </c>
      <c r="E728" s="68"/>
      <c r="F728" s="608" t="str">
        <f>F711</f>
        <v>38,07+17,45+3,00+17,45+3,00+79,92+38,19</v>
      </c>
      <c r="G728" s="609"/>
      <c r="H728" s="609"/>
      <c r="I728" s="610"/>
      <c r="J728" s="169">
        <f>J711</f>
        <v>197.07999999999998</v>
      </c>
    </row>
    <row r="729" spans="1:10" x14ac:dyDescent="0.3">
      <c r="A729" s="163"/>
      <c r="B729" s="12"/>
      <c r="C729" s="13"/>
      <c r="D729" s="52" t="str">
        <f>D712</f>
        <v>Guarita</v>
      </c>
      <c r="E729" s="68"/>
      <c r="F729" s="608">
        <f>F712</f>
        <v>16.829999999999998</v>
      </c>
      <c r="G729" s="609"/>
      <c r="H729" s="609"/>
      <c r="I729" s="610"/>
      <c r="J729" s="169">
        <f t="shared" ref="J729:J731" si="30">F729</f>
        <v>16.829999999999998</v>
      </c>
    </row>
    <row r="730" spans="1:10" x14ac:dyDescent="0.3">
      <c r="A730" s="162"/>
      <c r="B730" s="59"/>
      <c r="C730" s="13"/>
      <c r="D730" s="52" t="str">
        <f>D713</f>
        <v>Câmara Fria</v>
      </c>
      <c r="E730" s="68"/>
      <c r="F730" s="608" t="str">
        <f>F713</f>
        <v>40,52+35</v>
      </c>
      <c r="G730" s="609"/>
      <c r="H730" s="609"/>
      <c r="I730" s="610"/>
      <c r="J730" s="169">
        <f>J713</f>
        <v>75.52000000000001</v>
      </c>
    </row>
    <row r="731" spans="1:10" x14ac:dyDescent="0.3">
      <c r="A731" s="119"/>
      <c r="B731" s="12"/>
      <c r="C731" s="13"/>
      <c r="D731" s="52" t="str">
        <f>D716</f>
        <v>Feira de Varejo</v>
      </c>
      <c r="E731" s="68"/>
      <c r="F731" s="608">
        <f>F716</f>
        <v>2075.66</v>
      </c>
      <c r="G731" s="609"/>
      <c r="H731" s="609"/>
      <c r="I731" s="610"/>
      <c r="J731" s="169">
        <f t="shared" si="30"/>
        <v>2075.66</v>
      </c>
    </row>
    <row r="732" spans="1:10" x14ac:dyDescent="0.3">
      <c r="A732" s="163"/>
      <c r="B732" s="12"/>
      <c r="C732" s="13"/>
      <c r="D732" s="52" t="str">
        <f>D717</f>
        <v>Boxs Atacadista</v>
      </c>
      <c r="E732" s="68"/>
      <c r="F732" s="608" t="str">
        <f>F717</f>
        <v>32*32</v>
      </c>
      <c r="G732" s="609"/>
      <c r="H732" s="609"/>
      <c r="I732" s="610"/>
      <c r="J732" s="169">
        <f>J717</f>
        <v>1024</v>
      </c>
    </row>
    <row r="733" spans="1:10" ht="15" thickBot="1" x14ac:dyDescent="0.35">
      <c r="A733" s="559" t="s">
        <v>58</v>
      </c>
      <c r="B733" s="560"/>
      <c r="C733" s="560"/>
      <c r="D733" s="560"/>
      <c r="E733" s="560"/>
      <c r="F733" s="560"/>
      <c r="G733" s="560"/>
      <c r="H733" s="560"/>
      <c r="I733" s="561"/>
      <c r="J733" s="221">
        <f>SUM(J728:J732)</f>
        <v>3389.0899999999997</v>
      </c>
    </row>
    <row r="734" spans="1:10" x14ac:dyDescent="0.3">
      <c r="A734" s="334" t="str">
        <f>ORÇAMENTO!A356</f>
        <v>18.6</v>
      </c>
      <c r="B734" s="218" t="str">
        <f>ORÇAMENTO!B356</f>
        <v>GOINFRA</v>
      </c>
      <c r="C734" s="216">
        <f>ORÇAMENTO!C356</f>
        <v>221102</v>
      </c>
      <c r="D734" s="219" t="str">
        <f>ORÇAMENTO!D356</f>
        <v xml:space="preserve">RODAPÉ FUNDIDO DE GRANITINA 7CM </v>
      </c>
      <c r="E734" s="216" t="str">
        <f>ORÇAMENTO!F356</f>
        <v xml:space="preserve">m </v>
      </c>
      <c r="F734" s="570" t="s">
        <v>77</v>
      </c>
      <c r="G734" s="594"/>
      <c r="H734" s="594"/>
      <c r="I734" s="571"/>
      <c r="J734" s="220" t="s">
        <v>65</v>
      </c>
    </row>
    <row r="735" spans="1:10" x14ac:dyDescent="0.3">
      <c r="A735" s="163"/>
      <c r="B735" s="12"/>
      <c r="C735" s="13"/>
      <c r="D735" s="52" t="str">
        <f>D732</f>
        <v>Boxs Atacadista</v>
      </c>
      <c r="E735" s="13"/>
      <c r="F735" s="579" t="s">
        <v>931</v>
      </c>
      <c r="G735" s="580"/>
      <c r="H735" s="580"/>
      <c r="I735" s="581"/>
      <c r="J735" s="53">
        <f>(9*16*2)+(7*19.7*2)</f>
        <v>563.79999999999995</v>
      </c>
    </row>
    <row r="736" spans="1:10" x14ac:dyDescent="0.3">
      <c r="A736" s="163"/>
      <c r="B736" s="12"/>
      <c r="C736" s="13"/>
      <c r="D736" s="52" t="s">
        <v>932</v>
      </c>
      <c r="E736" s="13"/>
      <c r="F736" s="579" t="s">
        <v>933</v>
      </c>
      <c r="G736" s="580"/>
      <c r="H736" s="580"/>
      <c r="I736" s="581"/>
      <c r="J736" s="53">
        <f>16.7-(0.8+0.8+0.8+0.8)</f>
        <v>13.5</v>
      </c>
    </row>
    <row r="737" spans="1:10" x14ac:dyDescent="0.3">
      <c r="A737" s="162"/>
      <c r="B737" s="59"/>
      <c r="C737" s="13"/>
      <c r="D737" s="52" t="s">
        <v>934</v>
      </c>
      <c r="E737" s="13"/>
      <c r="F737" s="579" t="s">
        <v>935</v>
      </c>
      <c r="G737" s="580"/>
      <c r="H737" s="580"/>
      <c r="I737" s="581"/>
      <c r="J737" s="53">
        <f>15.4-0.8</f>
        <v>14.6</v>
      </c>
    </row>
    <row r="738" spans="1:10" x14ac:dyDescent="0.3">
      <c r="A738" s="119"/>
      <c r="B738" s="12"/>
      <c r="C738" s="13"/>
      <c r="D738" s="52" t="s">
        <v>936</v>
      </c>
      <c r="E738" s="13"/>
      <c r="F738" s="579" t="s">
        <v>937</v>
      </c>
      <c r="G738" s="580"/>
      <c r="H738" s="580"/>
      <c r="I738" s="581"/>
      <c r="J738" s="62">
        <f>16.4-0.8</f>
        <v>15.599999999999998</v>
      </c>
    </row>
    <row r="739" spans="1:10" x14ac:dyDescent="0.3">
      <c r="A739" s="163"/>
      <c r="B739" s="12"/>
      <c r="C739" s="13"/>
      <c r="D739" s="52" t="s">
        <v>938</v>
      </c>
      <c r="E739" s="13"/>
      <c r="F739" s="579" t="s">
        <v>939</v>
      </c>
      <c r="G739" s="580"/>
      <c r="H739" s="580"/>
      <c r="I739" s="581"/>
      <c r="J739" s="53">
        <f>14.4-0.8-0.8</f>
        <v>12.799999999999999</v>
      </c>
    </row>
    <row r="740" spans="1:10" x14ac:dyDescent="0.3">
      <c r="A740" s="163"/>
      <c r="B740" s="12"/>
      <c r="C740" s="13"/>
      <c r="D740" s="52" t="s">
        <v>938</v>
      </c>
      <c r="E740" s="13"/>
      <c r="F740" s="579" t="s">
        <v>939</v>
      </c>
      <c r="G740" s="580"/>
      <c r="H740" s="580"/>
      <c r="I740" s="581"/>
      <c r="J740" s="53">
        <f>14.4-0.8-0.8</f>
        <v>12.799999999999999</v>
      </c>
    </row>
    <row r="741" spans="1:10" x14ac:dyDescent="0.3">
      <c r="A741" s="162"/>
      <c r="B741" s="59"/>
      <c r="C741" s="13"/>
      <c r="D741" s="52" t="s">
        <v>940</v>
      </c>
      <c r="E741" s="13"/>
      <c r="F741" s="565" t="s">
        <v>941</v>
      </c>
      <c r="G741" s="566"/>
      <c r="H741" s="566"/>
      <c r="I741" s="567"/>
      <c r="J741" s="53">
        <f>(28.98-0.8)+4.5+(28.98-2.4)+(4.5-0.8)+(20.68-0.8)+(21.15-0.8-0.8)+(4.5-0.8)</f>
        <v>106.09</v>
      </c>
    </row>
    <row r="742" spans="1:10" x14ac:dyDescent="0.3">
      <c r="A742" s="119"/>
      <c r="B742" s="12"/>
      <c r="C742" s="13"/>
      <c r="D742" s="52" t="s">
        <v>942</v>
      </c>
      <c r="E742" s="13"/>
      <c r="F742" s="579" t="s">
        <v>943</v>
      </c>
      <c r="G742" s="580"/>
      <c r="H742" s="580"/>
      <c r="I742" s="581"/>
      <c r="J742" s="62">
        <f>(1.5*11)+(2*2)+(2*13)</f>
        <v>46.5</v>
      </c>
    </row>
    <row r="743" spans="1:10" x14ac:dyDescent="0.3">
      <c r="A743" s="163"/>
      <c r="B743" s="12"/>
      <c r="C743" s="13"/>
      <c r="D743" s="52" t="s">
        <v>874</v>
      </c>
      <c r="E743" s="13"/>
      <c r="F743" s="579">
        <v>10.3</v>
      </c>
      <c r="G743" s="580"/>
      <c r="H743" s="580"/>
      <c r="I743" s="581"/>
      <c r="J743" s="53">
        <f>F743</f>
        <v>10.3</v>
      </c>
    </row>
    <row r="744" spans="1:10" x14ac:dyDescent="0.3">
      <c r="A744" s="163"/>
      <c r="B744" s="12"/>
      <c r="C744" s="13"/>
      <c r="D744" s="52" t="s">
        <v>944</v>
      </c>
      <c r="E744" s="13"/>
      <c r="F744" s="579" t="s">
        <v>947</v>
      </c>
      <c r="G744" s="580"/>
      <c r="H744" s="580"/>
      <c r="I744" s="581"/>
      <c r="J744" s="53">
        <f>10.09-0.8</f>
        <v>9.2899999999999991</v>
      </c>
    </row>
    <row r="745" spans="1:10" x14ac:dyDescent="0.3">
      <c r="A745" s="162"/>
      <c r="B745" s="59"/>
      <c r="C745" s="13"/>
      <c r="D745" s="52" t="s">
        <v>945</v>
      </c>
      <c r="E745" s="13"/>
      <c r="F745" s="579" t="s">
        <v>948</v>
      </c>
      <c r="G745" s="580"/>
      <c r="H745" s="580"/>
      <c r="I745" s="581"/>
      <c r="J745" s="53">
        <f>4.64-0.8-0.8</f>
        <v>3.04</v>
      </c>
    </row>
    <row r="746" spans="1:10" x14ac:dyDescent="0.3">
      <c r="A746" s="119"/>
      <c r="B746" s="12"/>
      <c r="C746" s="13"/>
      <c r="D746" s="52" t="s">
        <v>946</v>
      </c>
      <c r="E746" s="13"/>
      <c r="F746" s="579" t="s">
        <v>949</v>
      </c>
      <c r="G746" s="580"/>
      <c r="H746" s="580"/>
      <c r="I746" s="581"/>
      <c r="J746" s="62">
        <f>10.19-0.7-0.8</f>
        <v>8.69</v>
      </c>
    </row>
    <row r="747" spans="1:10" ht="15" thickBot="1" x14ac:dyDescent="0.35">
      <c r="A747" s="559" t="s">
        <v>58</v>
      </c>
      <c r="B747" s="560"/>
      <c r="C747" s="560"/>
      <c r="D747" s="560"/>
      <c r="E747" s="560"/>
      <c r="F747" s="560"/>
      <c r="G747" s="560"/>
      <c r="H747" s="560"/>
      <c r="I747" s="561"/>
      <c r="J747" s="221">
        <f>SUM(J735:J746)</f>
        <v>817.00999999999988</v>
      </c>
    </row>
    <row r="748" spans="1:10" ht="15" thickBot="1" x14ac:dyDescent="0.35">
      <c r="A748" s="582" t="s">
        <v>52</v>
      </c>
      <c r="B748" s="583"/>
      <c r="C748" s="583"/>
      <c r="D748" s="583"/>
      <c r="E748" s="583"/>
      <c r="F748" s="583"/>
      <c r="G748" s="583"/>
      <c r="H748" s="583"/>
      <c r="I748" s="583"/>
      <c r="J748" s="584"/>
    </row>
    <row r="749" spans="1:10" x14ac:dyDescent="0.3">
      <c r="A749" s="309">
        <f>ORÇAMENTO!A359</f>
        <v>19</v>
      </c>
      <c r="B749" s="310" t="s">
        <v>11</v>
      </c>
      <c r="C749" s="311">
        <v>230000</v>
      </c>
      <c r="D749" s="624" t="s">
        <v>53</v>
      </c>
      <c r="E749" s="625"/>
      <c r="F749" s="625"/>
      <c r="G749" s="625"/>
      <c r="H749" s="625"/>
      <c r="I749" s="625"/>
      <c r="J749" s="312"/>
    </row>
    <row r="750" spans="1:10" x14ac:dyDescent="0.3">
      <c r="A750" s="119" t="str">
        <f>ORÇAMENTO!A360</f>
        <v>19.1</v>
      </c>
      <c r="B750" s="12" t="str">
        <f>ORÇAMENTO!B360</f>
        <v>GOINFRA</v>
      </c>
      <c r="C750" s="13">
        <f>ORÇAMENTO!C360</f>
        <v>230101</v>
      </c>
      <c r="D750" s="52" t="str">
        <f>ORÇAMENTO!D360</f>
        <v xml:space="preserve">FECH.(ALAV.) LAFONTE 6236 E/8766- E17 IMAB OU EQUIV. </v>
      </c>
      <c r="E750" s="13" t="str">
        <f>ORÇAMENTO!F360</f>
        <v>und.</v>
      </c>
      <c r="F750" s="579" t="s">
        <v>67</v>
      </c>
      <c r="G750" s="580"/>
      <c r="H750" s="580"/>
      <c r="I750" s="581"/>
      <c r="J750" s="62" t="s">
        <v>65</v>
      </c>
    </row>
    <row r="751" spans="1:10" x14ac:dyDescent="0.3">
      <c r="A751" s="119"/>
      <c r="B751" s="12"/>
      <c r="C751" s="13"/>
      <c r="D751" s="52" t="s">
        <v>410</v>
      </c>
      <c r="E751" s="68"/>
      <c r="F751" s="579">
        <v>8</v>
      </c>
      <c r="G751" s="580"/>
      <c r="H751" s="580"/>
      <c r="I751" s="581"/>
      <c r="J751" s="62">
        <f>F751</f>
        <v>8</v>
      </c>
    </row>
    <row r="752" spans="1:10" x14ac:dyDescent="0.3">
      <c r="A752" s="119"/>
      <c r="B752" s="12"/>
      <c r="C752" s="13"/>
      <c r="D752" s="52" t="s">
        <v>950</v>
      </c>
      <c r="E752" s="68"/>
      <c r="F752" s="579">
        <v>1</v>
      </c>
      <c r="G752" s="580"/>
      <c r="H752" s="580"/>
      <c r="I752" s="581"/>
      <c r="J752" s="62">
        <f>F752</f>
        <v>1</v>
      </c>
    </row>
    <row r="753" spans="1:10" ht="15" thickBot="1" x14ac:dyDescent="0.35">
      <c r="A753" s="559" t="s">
        <v>58</v>
      </c>
      <c r="B753" s="560"/>
      <c r="C753" s="560"/>
      <c r="D753" s="560"/>
      <c r="E753" s="560"/>
      <c r="F753" s="560"/>
      <c r="G753" s="560"/>
      <c r="H753" s="560"/>
      <c r="I753" s="561"/>
      <c r="J753" s="221">
        <f>SUM(J751:J752)</f>
        <v>9</v>
      </c>
    </row>
    <row r="754" spans="1:10" x14ac:dyDescent="0.3">
      <c r="A754" s="215" t="str">
        <f>ORÇAMENTO!A361</f>
        <v>19.2</v>
      </c>
      <c r="B754" s="218" t="str">
        <f>ORÇAMENTO!B361</f>
        <v>GOINFRA</v>
      </c>
      <c r="C754" s="216">
        <f>ORÇAMENTO!C361</f>
        <v>230174</v>
      </c>
      <c r="D754" s="219" t="str">
        <f>ORÇAMENTO!D361</f>
        <v xml:space="preserve">BARRA DE APOIO EM AÇO INOX - 40 CM </v>
      </c>
      <c r="E754" s="216" t="str">
        <f>ORÇAMENTO!F361</f>
        <v>und.</v>
      </c>
      <c r="F754" s="570" t="s">
        <v>67</v>
      </c>
      <c r="G754" s="594"/>
      <c r="H754" s="594"/>
      <c r="I754" s="571"/>
      <c r="J754" s="220" t="s">
        <v>65</v>
      </c>
    </row>
    <row r="755" spans="1:10" x14ac:dyDescent="0.3">
      <c r="A755" s="119"/>
      <c r="B755" s="12"/>
      <c r="C755" s="13"/>
      <c r="D755" s="52" t="s">
        <v>877</v>
      </c>
      <c r="E755" s="13"/>
      <c r="F755" s="579">
        <v>1</v>
      </c>
      <c r="G755" s="580"/>
      <c r="H755" s="580"/>
      <c r="I755" s="581"/>
      <c r="J755" s="62">
        <f>F755</f>
        <v>1</v>
      </c>
    </row>
    <row r="756" spans="1:10" x14ac:dyDescent="0.3">
      <c r="A756" s="119"/>
      <c r="B756" s="12"/>
      <c r="C756" s="13"/>
      <c r="D756" s="52" t="s">
        <v>876</v>
      </c>
      <c r="E756" s="13"/>
      <c r="F756" s="579">
        <v>1</v>
      </c>
      <c r="G756" s="580"/>
      <c r="H756" s="580"/>
      <c r="I756" s="581"/>
      <c r="J756" s="62">
        <f t="shared" ref="J756:J758" si="31">F756</f>
        <v>1</v>
      </c>
    </row>
    <row r="757" spans="1:10" x14ac:dyDescent="0.3">
      <c r="A757" s="119"/>
      <c r="B757" s="12"/>
      <c r="C757" s="13"/>
      <c r="D757" s="52" t="s">
        <v>898</v>
      </c>
      <c r="E757" s="13"/>
      <c r="F757" s="579">
        <v>1</v>
      </c>
      <c r="G757" s="580"/>
      <c r="H757" s="580"/>
      <c r="I757" s="581"/>
      <c r="J757" s="62">
        <f t="shared" si="31"/>
        <v>1</v>
      </c>
    </row>
    <row r="758" spans="1:10" x14ac:dyDescent="0.3">
      <c r="A758" s="119"/>
      <c r="B758" s="12"/>
      <c r="C758" s="13"/>
      <c r="D758" s="52" t="s">
        <v>951</v>
      </c>
      <c r="E758" s="13"/>
      <c r="F758" s="579">
        <v>1</v>
      </c>
      <c r="G758" s="580"/>
      <c r="H758" s="580"/>
      <c r="I758" s="581"/>
      <c r="J758" s="62">
        <f t="shared" si="31"/>
        <v>1</v>
      </c>
    </row>
    <row r="759" spans="1:10" ht="15" thickBot="1" x14ac:dyDescent="0.35">
      <c r="A759" s="559" t="s">
        <v>58</v>
      </c>
      <c r="B759" s="560"/>
      <c r="C759" s="560"/>
      <c r="D759" s="560"/>
      <c r="E759" s="560"/>
      <c r="F759" s="560"/>
      <c r="G759" s="560"/>
      <c r="H759" s="560"/>
      <c r="I759" s="561"/>
      <c r="J759" s="221">
        <f>SUM(J755:J758)</f>
        <v>4</v>
      </c>
    </row>
    <row r="760" spans="1:10" x14ac:dyDescent="0.3">
      <c r="A760" s="215" t="str">
        <f>ORÇAMENTO!A362</f>
        <v>19.3</v>
      </c>
      <c r="B760" s="218" t="str">
        <f>ORÇAMENTO!B362</f>
        <v>GOINFRA</v>
      </c>
      <c r="C760" s="216">
        <f>ORÇAMENTO!C362</f>
        <v>230176</v>
      </c>
      <c r="D760" s="219" t="str">
        <f>ORÇAMENTO!D362</f>
        <v xml:space="preserve">BARRA DE APOIO EM AÇO INOX - 80 CM </v>
      </c>
      <c r="E760" s="216" t="str">
        <f>ORÇAMENTO!F362</f>
        <v>und.</v>
      </c>
      <c r="F760" s="570" t="s">
        <v>67</v>
      </c>
      <c r="G760" s="594"/>
      <c r="H760" s="594"/>
      <c r="I760" s="571"/>
      <c r="J760" s="220" t="s">
        <v>65</v>
      </c>
    </row>
    <row r="761" spans="1:10" x14ac:dyDescent="0.3">
      <c r="A761" s="119"/>
      <c r="B761" s="12"/>
      <c r="C761" s="13"/>
      <c r="D761" s="52" t="str">
        <f>D755</f>
        <v>W.C. Masculino</v>
      </c>
      <c r="E761" s="13"/>
      <c r="F761" s="579">
        <v>1</v>
      </c>
      <c r="G761" s="580"/>
      <c r="H761" s="580"/>
      <c r="I761" s="581"/>
      <c r="J761" s="62">
        <f>F761</f>
        <v>1</v>
      </c>
    </row>
    <row r="762" spans="1:10" x14ac:dyDescent="0.3">
      <c r="A762" s="119"/>
      <c r="B762" s="12"/>
      <c r="C762" s="13"/>
      <c r="D762" s="52" t="str">
        <f t="shared" ref="D762:D764" si="32">D756</f>
        <v>W.C. Feminino</v>
      </c>
      <c r="E762" s="13"/>
      <c r="F762" s="579">
        <v>1</v>
      </c>
      <c r="G762" s="580"/>
      <c r="H762" s="580"/>
      <c r="I762" s="581"/>
      <c r="J762" s="62">
        <f t="shared" ref="J762:J764" si="33">F762</f>
        <v>1</v>
      </c>
    </row>
    <row r="763" spans="1:10" x14ac:dyDescent="0.3">
      <c r="A763" s="119"/>
      <c r="B763" s="12"/>
      <c r="C763" s="13"/>
      <c r="D763" s="52" t="str">
        <f t="shared" si="32"/>
        <v>PNE Masculino</v>
      </c>
      <c r="E763" s="13"/>
      <c r="F763" s="579">
        <v>1</v>
      </c>
      <c r="G763" s="580"/>
      <c r="H763" s="580"/>
      <c r="I763" s="581"/>
      <c r="J763" s="62">
        <f t="shared" si="33"/>
        <v>1</v>
      </c>
    </row>
    <row r="764" spans="1:10" x14ac:dyDescent="0.3">
      <c r="A764" s="119"/>
      <c r="B764" s="12"/>
      <c r="C764" s="13"/>
      <c r="D764" s="52" t="str">
        <f t="shared" si="32"/>
        <v xml:space="preserve">PNE Feminino </v>
      </c>
      <c r="E764" s="13"/>
      <c r="F764" s="579">
        <v>1</v>
      </c>
      <c r="G764" s="580"/>
      <c r="H764" s="580"/>
      <c r="I764" s="581"/>
      <c r="J764" s="62">
        <f t="shared" si="33"/>
        <v>1</v>
      </c>
    </row>
    <row r="765" spans="1:10" ht="15" thickBot="1" x14ac:dyDescent="0.35">
      <c r="A765" s="559" t="s">
        <v>58</v>
      </c>
      <c r="B765" s="560"/>
      <c r="C765" s="560"/>
      <c r="D765" s="560"/>
      <c r="E765" s="560"/>
      <c r="F765" s="560"/>
      <c r="G765" s="560"/>
      <c r="H765" s="560"/>
      <c r="I765" s="561"/>
      <c r="J765" s="221">
        <f>SUM(J761:J764)</f>
        <v>4</v>
      </c>
    </row>
    <row r="766" spans="1:10" x14ac:dyDescent="0.3">
      <c r="A766" s="215" t="str">
        <f>ORÇAMENTO!A363</f>
        <v>19.4</v>
      </c>
      <c r="B766" s="218" t="str">
        <f>ORÇAMENTO!B363</f>
        <v>GOINFRA</v>
      </c>
      <c r="C766" s="216">
        <f>ORÇAMENTO!C363</f>
        <v>230201</v>
      </c>
      <c r="D766" s="219" t="str">
        <f>ORÇAMENTO!D363</f>
        <v xml:space="preserve">DOBRADICA 3" x 3 1/2" FERRO POLIDO </v>
      </c>
      <c r="E766" s="216" t="str">
        <f>ORÇAMENTO!F363</f>
        <v>und.</v>
      </c>
      <c r="F766" s="570" t="s">
        <v>67</v>
      </c>
      <c r="G766" s="594"/>
      <c r="H766" s="594"/>
      <c r="I766" s="571"/>
      <c r="J766" s="220" t="s">
        <v>65</v>
      </c>
    </row>
    <row r="767" spans="1:10" x14ac:dyDescent="0.3">
      <c r="A767" s="119"/>
      <c r="B767" s="12"/>
      <c r="C767" s="13"/>
      <c r="D767" s="52" t="s">
        <v>410</v>
      </c>
      <c r="E767" s="13"/>
      <c r="F767" s="579" t="s">
        <v>953</v>
      </c>
      <c r="G767" s="580"/>
      <c r="H767" s="580"/>
      <c r="I767" s="581"/>
      <c r="J767" s="62">
        <f>8*3</f>
        <v>24</v>
      </c>
    </row>
    <row r="768" spans="1:10" x14ac:dyDescent="0.3">
      <c r="A768" s="119"/>
      <c r="B768" s="12"/>
      <c r="C768" s="13"/>
      <c r="D768" s="52" t="s">
        <v>952</v>
      </c>
      <c r="E768" s="13"/>
      <c r="F768" s="579" t="s">
        <v>954</v>
      </c>
      <c r="G768" s="580"/>
      <c r="H768" s="580"/>
      <c r="I768" s="581"/>
      <c r="J768" s="62">
        <f>1*3</f>
        <v>3</v>
      </c>
    </row>
    <row r="769" spans="1:10" ht="15" thickBot="1" x14ac:dyDescent="0.35">
      <c r="A769" s="559" t="s">
        <v>58</v>
      </c>
      <c r="B769" s="560"/>
      <c r="C769" s="560"/>
      <c r="D769" s="560"/>
      <c r="E769" s="560"/>
      <c r="F769" s="560"/>
      <c r="G769" s="560"/>
      <c r="H769" s="560"/>
      <c r="I769" s="561"/>
      <c r="J769" s="221">
        <f>SUM(J767:J768)</f>
        <v>27</v>
      </c>
    </row>
    <row r="770" spans="1:10" ht="15" thickBot="1" x14ac:dyDescent="0.35">
      <c r="A770" s="582" t="s">
        <v>54</v>
      </c>
      <c r="B770" s="583"/>
      <c r="C770" s="583"/>
      <c r="D770" s="583"/>
      <c r="E770" s="583"/>
      <c r="F770" s="583"/>
      <c r="G770" s="583"/>
      <c r="H770" s="583"/>
      <c r="I770" s="583"/>
      <c r="J770" s="584"/>
    </row>
    <row r="771" spans="1:10" x14ac:dyDescent="0.3">
      <c r="A771" s="309">
        <f>ORÇAMENTO!A366</f>
        <v>21</v>
      </c>
      <c r="B771" s="310" t="s">
        <v>11</v>
      </c>
      <c r="C771" s="311">
        <v>260000</v>
      </c>
      <c r="D771" s="624" t="s">
        <v>55</v>
      </c>
      <c r="E771" s="625"/>
      <c r="F771" s="625"/>
      <c r="G771" s="625"/>
      <c r="H771" s="625"/>
      <c r="I771" s="625"/>
      <c r="J771" s="312"/>
    </row>
    <row r="772" spans="1:10" x14ac:dyDescent="0.3">
      <c r="A772" s="119" t="str">
        <f>ORÇAMENTO!A367</f>
        <v>21.1</v>
      </c>
      <c r="B772" s="12" t="str">
        <f>ORÇAMENTO!B367</f>
        <v>GOINFRA</v>
      </c>
      <c r="C772" s="13">
        <f>ORÇAMENTO!C367</f>
        <v>260204</v>
      </c>
      <c r="D772" s="52" t="str">
        <f>ORÇAMENTO!D367</f>
        <v xml:space="preserve">CAIAÇAO 2 DEMAOS EM POSTE/ VIGAS E MEIO FIO(OC) </v>
      </c>
      <c r="E772" s="13" t="str">
        <f>ORÇAMENTO!F367</f>
        <v xml:space="preserve">m2 </v>
      </c>
      <c r="F772" s="565" t="s">
        <v>77</v>
      </c>
      <c r="G772" s="567"/>
      <c r="H772" s="579" t="s">
        <v>344</v>
      </c>
      <c r="I772" s="581"/>
      <c r="J772" s="62" t="s">
        <v>65</v>
      </c>
    </row>
    <row r="773" spans="1:10" x14ac:dyDescent="0.3">
      <c r="A773" s="119"/>
      <c r="B773" s="12"/>
      <c r="C773" s="13"/>
      <c r="D773" s="57" t="s">
        <v>957</v>
      </c>
      <c r="E773" s="13"/>
      <c r="F773" s="565" t="s">
        <v>956</v>
      </c>
      <c r="G773" s="567"/>
      <c r="H773" s="579" t="s">
        <v>955</v>
      </c>
      <c r="I773" s="581"/>
      <c r="J773" s="53">
        <f>(99.94+82.08+38.96+19.04+41.79+4.08+14.17+3.88+5.28+68.39+80.91+1.93+26.87+ 2.43+ 58.37) * (0.15+0.1)</f>
        <v>137.03</v>
      </c>
    </row>
    <row r="774" spans="1:10" x14ac:dyDescent="0.3">
      <c r="A774" s="119"/>
      <c r="B774" s="12"/>
      <c r="C774" s="13"/>
      <c r="D774" s="57" t="s">
        <v>962</v>
      </c>
      <c r="E774" s="13"/>
      <c r="F774" s="565" t="s">
        <v>958</v>
      </c>
      <c r="G774" s="567"/>
      <c r="H774" s="579" t="s">
        <v>955</v>
      </c>
      <c r="I774" s="581"/>
      <c r="J774" s="53">
        <f>(26+16.02+5.5+47.5+5.5+13.14+26.02+14.16+7+48+7+14.16)*(0.15+0.1)</f>
        <v>57.5</v>
      </c>
    </row>
    <row r="775" spans="1:10" x14ac:dyDescent="0.3">
      <c r="A775" s="119"/>
      <c r="B775" s="12"/>
      <c r="C775" s="13"/>
      <c r="D775" s="57" t="s">
        <v>961</v>
      </c>
      <c r="E775" s="13"/>
      <c r="F775" s="565" t="s">
        <v>959</v>
      </c>
      <c r="G775" s="567"/>
      <c r="H775" s="579" t="s">
        <v>955</v>
      </c>
      <c r="I775" s="581"/>
      <c r="J775" s="53">
        <f>(7.32+7.32+6.33+6.33)*(0.15+0.1)</f>
        <v>6.8249999999999993</v>
      </c>
    </row>
    <row r="776" spans="1:10" x14ac:dyDescent="0.3">
      <c r="A776" s="119"/>
      <c r="B776" s="12"/>
      <c r="C776" s="13"/>
      <c r="D776" s="57" t="s">
        <v>963</v>
      </c>
      <c r="E776" s="13"/>
      <c r="F776" s="565" t="s">
        <v>960</v>
      </c>
      <c r="G776" s="567"/>
      <c r="H776" s="579" t="s">
        <v>955</v>
      </c>
      <c r="I776" s="581"/>
      <c r="J776" s="53">
        <f>(3.11+4+2.5+3.11+2.5)*(0.15+0.1)</f>
        <v>3.8049999999999997</v>
      </c>
    </row>
    <row r="777" spans="1:10" ht="15" thickBot="1" x14ac:dyDescent="0.35">
      <c r="A777" s="559" t="s">
        <v>58</v>
      </c>
      <c r="B777" s="560"/>
      <c r="C777" s="560"/>
      <c r="D777" s="560"/>
      <c r="E777" s="560"/>
      <c r="F777" s="560"/>
      <c r="G777" s="560"/>
      <c r="H777" s="560"/>
      <c r="I777" s="561"/>
      <c r="J777" s="221">
        <f>SUM(J773:J776)</f>
        <v>205.16</v>
      </c>
    </row>
    <row r="778" spans="1:10" x14ac:dyDescent="0.3">
      <c r="A778" s="215" t="str">
        <f>ORÇAMENTO!A368</f>
        <v>21.2</v>
      </c>
      <c r="B778" s="218" t="str">
        <f>ORÇAMENTO!B368</f>
        <v>GOINFRA</v>
      </c>
      <c r="C778" s="216">
        <f>ORÇAMENTO!C368</f>
        <v>261000</v>
      </c>
      <c r="D778" s="219" t="str">
        <f>ORÇAMENTO!D368</f>
        <v xml:space="preserve">PINTURA LATEX ACRILICA 2 DEMAOS C/SELADOR </v>
      </c>
      <c r="E778" s="216" t="str">
        <f>ORÇAMENTO!F368</f>
        <v xml:space="preserve">m2 </v>
      </c>
      <c r="F778" s="568" t="s">
        <v>66</v>
      </c>
      <c r="G778" s="607"/>
      <c r="H778" s="607"/>
      <c r="I778" s="569"/>
      <c r="J778" s="220" t="s">
        <v>65</v>
      </c>
    </row>
    <row r="779" spans="1:10" x14ac:dyDescent="0.3">
      <c r="A779" s="119"/>
      <c r="B779" s="12"/>
      <c r="C779" s="13"/>
      <c r="D779" s="52" t="s">
        <v>1001</v>
      </c>
      <c r="E779" s="68"/>
      <c r="F779" s="579" t="s">
        <v>964</v>
      </c>
      <c r="G779" s="580"/>
      <c r="H779" s="580"/>
      <c r="I779" s="581"/>
      <c r="J779" s="62">
        <f>(64.15*6.03*2)+(16*6.03*2)+(7.92+7.92)</f>
        <v>982.44900000000018</v>
      </c>
    </row>
    <row r="780" spans="1:10" x14ac:dyDescent="0.3">
      <c r="A780" s="119"/>
      <c r="B780" s="12"/>
      <c r="C780" s="13"/>
      <c r="D780" s="52" t="s">
        <v>966</v>
      </c>
      <c r="E780" s="68"/>
      <c r="F780" s="565" t="s">
        <v>965</v>
      </c>
      <c r="G780" s="566"/>
      <c r="H780" s="566"/>
      <c r="I780" s="567"/>
      <c r="J780" s="62">
        <f>-(3.85*2.75)*32</f>
        <v>-338.8</v>
      </c>
    </row>
    <row r="781" spans="1:10" x14ac:dyDescent="0.3">
      <c r="A781" s="119"/>
      <c r="B781" s="12"/>
      <c r="C781" s="13"/>
      <c r="D781" s="52" t="s">
        <v>1002</v>
      </c>
      <c r="E781" s="68"/>
      <c r="F781" s="565" t="s">
        <v>967</v>
      </c>
      <c r="G781" s="566"/>
      <c r="H781" s="566"/>
      <c r="I781" s="567"/>
      <c r="J781" s="62">
        <f>(28.97*3.9*2)+(20.6*3.9*2)+(4.5*3.9*4)+(0.8*28.97*2)+(0.8*20.6*2)+(4.5*0.8*4)</f>
        <v>550.55799999999999</v>
      </c>
    </row>
    <row r="782" spans="1:10" x14ac:dyDescent="0.3">
      <c r="A782" s="119"/>
      <c r="B782" s="12"/>
      <c r="C782" s="13"/>
      <c r="D782" s="52" t="s">
        <v>968</v>
      </c>
      <c r="E782" s="68"/>
      <c r="F782" s="579" t="s">
        <v>969</v>
      </c>
      <c r="G782" s="580"/>
      <c r="H782" s="580"/>
      <c r="I782" s="581"/>
      <c r="J782" s="62">
        <f>-(0.8*2.1*6)+(2.4*2.1)</f>
        <v>-5.0400000000000018</v>
      </c>
    </row>
    <row r="783" spans="1:10" x14ac:dyDescent="0.3">
      <c r="A783" s="119"/>
      <c r="B783" s="12"/>
      <c r="C783" s="13"/>
      <c r="D783" s="52" t="s">
        <v>317</v>
      </c>
      <c r="E783" s="68"/>
      <c r="F783" s="579" t="s">
        <v>970</v>
      </c>
      <c r="G783" s="580"/>
      <c r="H783" s="580"/>
      <c r="I783" s="581"/>
      <c r="J783" s="62">
        <f>-((0.6*0.6*8)+(2.1*1*6)+(1.5*1*4)+(2.9*1*2))</f>
        <v>-27.28</v>
      </c>
    </row>
    <row r="784" spans="1:10" x14ac:dyDescent="0.3">
      <c r="A784" s="119"/>
      <c r="B784" s="12"/>
      <c r="C784" s="13"/>
      <c r="D784" s="52" t="s">
        <v>1003</v>
      </c>
      <c r="E784" s="68"/>
      <c r="F784" s="565" t="s">
        <v>971</v>
      </c>
      <c r="G784" s="566"/>
      <c r="H784" s="566"/>
      <c r="I784" s="567"/>
      <c r="J784" s="62">
        <f>5.5*26</f>
        <v>143</v>
      </c>
    </row>
    <row r="785" spans="1:10" x14ac:dyDescent="0.3">
      <c r="A785" s="119"/>
      <c r="B785" s="12"/>
      <c r="C785" s="13"/>
      <c r="D785" s="52" t="s">
        <v>1004</v>
      </c>
      <c r="E785" s="68"/>
      <c r="F785" s="565" t="s">
        <v>974</v>
      </c>
      <c r="G785" s="566"/>
      <c r="H785" s="566"/>
      <c r="I785" s="567"/>
      <c r="J785" s="62">
        <f>(10.3*4.3*2)+(7.8*4.3*2)+(2.71*2)+(10.3*0.8)+(10.3*2.8)+(10.3*2.8)</f>
        <v>227</v>
      </c>
    </row>
    <row r="786" spans="1:10" x14ac:dyDescent="0.3">
      <c r="A786" s="119"/>
      <c r="B786" s="12"/>
      <c r="C786" s="13"/>
      <c r="D786" s="52" t="s">
        <v>968</v>
      </c>
      <c r="E786" s="68"/>
      <c r="F786" s="565" t="s">
        <v>972</v>
      </c>
      <c r="G786" s="566"/>
      <c r="H786" s="566"/>
      <c r="I786" s="567"/>
      <c r="J786" s="62">
        <f>-((1.5*2.1)+(2*2.1))</f>
        <v>-7.3500000000000005</v>
      </c>
    </row>
    <row r="787" spans="1:10" x14ac:dyDescent="0.3">
      <c r="A787" s="119"/>
      <c r="B787" s="12"/>
      <c r="C787" s="13"/>
      <c r="D787" s="52" t="s">
        <v>318</v>
      </c>
      <c r="E787" s="68"/>
      <c r="F787" s="565" t="s">
        <v>973</v>
      </c>
      <c r="G787" s="566"/>
      <c r="H787" s="566"/>
      <c r="I787" s="567"/>
      <c r="J787" s="62">
        <f>-((3.3*2.8*2)+(3.17*2.8*3)+(3.17*2.8*3))</f>
        <v>-71.73599999999999</v>
      </c>
    </row>
    <row r="788" spans="1:10" x14ac:dyDescent="0.3">
      <c r="A788" s="119"/>
      <c r="B788" s="12"/>
      <c r="C788" s="13"/>
      <c r="D788" s="52" t="s">
        <v>1005</v>
      </c>
      <c r="E788" s="68"/>
      <c r="F788" s="565" t="s">
        <v>975</v>
      </c>
      <c r="G788" s="566"/>
      <c r="H788" s="566"/>
      <c r="I788" s="567"/>
      <c r="J788" s="62">
        <f>(3.6*3.5*2)+(3.6*6*2)+(0.8*6*2)+(0.8*3.5*2)</f>
        <v>83.6</v>
      </c>
    </row>
    <row r="789" spans="1:10" x14ac:dyDescent="0.3">
      <c r="A789" s="119"/>
      <c r="B789" s="12"/>
      <c r="C789" s="13"/>
      <c r="D789" s="52" t="s">
        <v>318</v>
      </c>
      <c r="E789" s="68"/>
      <c r="F789" s="565" t="s">
        <v>976</v>
      </c>
      <c r="G789" s="566"/>
      <c r="H789" s="566"/>
      <c r="I789" s="567"/>
      <c r="J789" s="62">
        <f>-((1.35*2.1)+(0.7*1*2)+(1.5*1))</f>
        <v>-5.7350000000000003</v>
      </c>
    </row>
    <row r="790" spans="1:10" x14ac:dyDescent="0.3">
      <c r="A790" s="119"/>
      <c r="B790" s="12"/>
      <c r="C790" s="13"/>
      <c r="D790" s="52" t="s">
        <v>1026</v>
      </c>
      <c r="E790" s="68"/>
      <c r="F790" s="565" t="s">
        <v>1027</v>
      </c>
      <c r="G790" s="566"/>
      <c r="H790" s="566"/>
      <c r="I790" s="567"/>
      <c r="J790" s="53">
        <f>(168.44*1.1)+(3.08*4)</f>
        <v>197.60400000000001</v>
      </c>
    </row>
    <row r="791" spans="1:10" ht="15" thickBot="1" x14ac:dyDescent="0.35">
      <c r="A791" s="559" t="s">
        <v>58</v>
      </c>
      <c r="B791" s="560"/>
      <c r="C791" s="560"/>
      <c r="D791" s="560"/>
      <c r="E791" s="560"/>
      <c r="F791" s="560"/>
      <c r="G791" s="560"/>
      <c r="H791" s="560"/>
      <c r="I791" s="561"/>
      <c r="J791" s="221">
        <f>SUM(J779:J789)</f>
        <v>1530.6660000000004</v>
      </c>
    </row>
    <row r="792" spans="1:10" x14ac:dyDescent="0.3">
      <c r="A792" s="215" t="str">
        <f>ORÇAMENTO!A369</f>
        <v>21.3</v>
      </c>
      <c r="B792" s="218" t="str">
        <f>ORÇAMENTO!B369</f>
        <v>GOINFRA</v>
      </c>
      <c r="C792" s="216">
        <f>ORÇAMENTO!C369</f>
        <v>261008</v>
      </c>
      <c r="D792" s="219" t="str">
        <f>ORÇAMENTO!D369</f>
        <v xml:space="preserve">FUNDO ANTICORROSIVO PARA ESQUADRIAS METÁLICAS </v>
      </c>
      <c r="E792" s="216" t="str">
        <f>ORÇAMENTO!F369</f>
        <v>m2</v>
      </c>
      <c r="F792" s="568" t="s">
        <v>66</v>
      </c>
      <c r="G792" s="569"/>
      <c r="H792" s="570" t="s">
        <v>440</v>
      </c>
      <c r="I792" s="571"/>
      <c r="J792" s="220" t="s">
        <v>65</v>
      </c>
    </row>
    <row r="793" spans="1:10" x14ac:dyDescent="0.3">
      <c r="A793" s="119"/>
      <c r="B793" s="12"/>
      <c r="C793" s="13"/>
      <c r="D793" s="52" t="s">
        <v>441</v>
      </c>
      <c r="E793" s="13"/>
      <c r="F793" s="565">
        <v>346.3</v>
      </c>
      <c r="G793" s="567"/>
      <c r="H793" s="579">
        <v>2</v>
      </c>
      <c r="I793" s="581"/>
      <c r="J793" s="62">
        <f>H793*F793</f>
        <v>692.6</v>
      </c>
    </row>
    <row r="794" spans="1:10" x14ac:dyDescent="0.3">
      <c r="A794" s="119"/>
      <c r="B794" s="12"/>
      <c r="C794" s="13"/>
      <c r="D794" s="52" t="s">
        <v>442</v>
      </c>
      <c r="E794" s="13"/>
      <c r="F794" s="565">
        <v>21.5</v>
      </c>
      <c r="G794" s="567"/>
      <c r="H794" s="579">
        <v>2</v>
      </c>
      <c r="I794" s="581"/>
      <c r="J794" s="62">
        <f t="shared" ref="J794:J798" si="34">H794*F794</f>
        <v>43</v>
      </c>
    </row>
    <row r="795" spans="1:10" x14ac:dyDescent="0.3">
      <c r="A795" s="119"/>
      <c r="B795" s="12"/>
      <c r="C795" s="13"/>
      <c r="D795" s="52" t="s">
        <v>443</v>
      </c>
      <c r="E795" s="13"/>
      <c r="F795" s="565">
        <v>3.24</v>
      </c>
      <c r="G795" s="567"/>
      <c r="H795" s="579">
        <v>2</v>
      </c>
      <c r="I795" s="581"/>
      <c r="J795" s="62">
        <f t="shared" si="34"/>
        <v>6.48</v>
      </c>
    </row>
    <row r="796" spans="1:10" x14ac:dyDescent="0.3">
      <c r="A796" s="119"/>
      <c r="B796" s="12"/>
      <c r="C796" s="13"/>
      <c r="D796" s="52" t="s">
        <v>444</v>
      </c>
      <c r="E796" s="13"/>
      <c r="F796" s="565">
        <v>5.4</v>
      </c>
      <c r="G796" s="567"/>
      <c r="H796" s="579">
        <v>2</v>
      </c>
      <c r="I796" s="581"/>
      <c r="J796" s="62">
        <f t="shared" si="34"/>
        <v>10.8</v>
      </c>
    </row>
    <row r="797" spans="1:10" x14ac:dyDescent="0.3">
      <c r="A797" s="119"/>
      <c r="B797" s="12"/>
      <c r="C797" s="13"/>
      <c r="D797" s="52" t="s">
        <v>445</v>
      </c>
      <c r="E797" s="13"/>
      <c r="F797" s="565">
        <v>13.4</v>
      </c>
      <c r="G797" s="567"/>
      <c r="H797" s="579">
        <v>2</v>
      </c>
      <c r="I797" s="581"/>
      <c r="J797" s="62">
        <f t="shared" si="34"/>
        <v>26.8</v>
      </c>
    </row>
    <row r="798" spans="1:10" x14ac:dyDescent="0.3">
      <c r="A798" s="119"/>
      <c r="B798" s="12"/>
      <c r="C798" s="13"/>
      <c r="D798" s="52" t="s">
        <v>404</v>
      </c>
      <c r="E798" s="13"/>
      <c r="F798" s="565">
        <v>12</v>
      </c>
      <c r="G798" s="567"/>
      <c r="H798" s="579">
        <v>2</v>
      </c>
      <c r="I798" s="581"/>
      <c r="J798" s="62">
        <f t="shared" si="34"/>
        <v>24</v>
      </c>
    </row>
    <row r="799" spans="1:10" ht="15" thickBot="1" x14ac:dyDescent="0.35">
      <c r="A799" s="559" t="s">
        <v>58</v>
      </c>
      <c r="B799" s="560"/>
      <c r="C799" s="560"/>
      <c r="D799" s="560"/>
      <c r="E799" s="560"/>
      <c r="F799" s="560"/>
      <c r="G799" s="560"/>
      <c r="H799" s="560"/>
      <c r="I799" s="561"/>
      <c r="J799" s="221">
        <f>SUM(J793:J798)</f>
        <v>803.68</v>
      </c>
    </row>
    <row r="800" spans="1:10" x14ac:dyDescent="0.3">
      <c r="A800" s="215" t="str">
        <f>ORÇAMENTO!A370</f>
        <v>21.4</v>
      </c>
      <c r="B800" s="218" t="str">
        <f>ORÇAMENTO!B370</f>
        <v>GOINFRA</v>
      </c>
      <c r="C800" s="216">
        <f>ORÇAMENTO!C370</f>
        <v>261300</v>
      </c>
      <c r="D800" s="219" t="str">
        <f>ORÇAMENTO!D370</f>
        <v xml:space="preserve">EMASSAMENTO COM MASSA PVA DUAS DEMAOS </v>
      </c>
      <c r="E800" s="216" t="str">
        <f>ORÇAMENTO!F370</f>
        <v>m2</v>
      </c>
      <c r="F800" s="568" t="s">
        <v>71</v>
      </c>
      <c r="G800" s="569"/>
      <c r="H800" s="570" t="s">
        <v>79</v>
      </c>
      <c r="I800" s="571"/>
      <c r="J800" s="220" t="s">
        <v>65</v>
      </c>
    </row>
    <row r="801" spans="1:10" x14ac:dyDescent="0.3">
      <c r="A801" s="119"/>
      <c r="B801" s="12"/>
      <c r="C801" s="13"/>
      <c r="D801" s="52" t="s">
        <v>991</v>
      </c>
      <c r="E801" s="68"/>
      <c r="F801" s="565">
        <v>16.7</v>
      </c>
      <c r="G801" s="567"/>
      <c r="H801" s="579">
        <v>3</v>
      </c>
      <c r="I801" s="581"/>
      <c r="J801" s="62">
        <f>F801*H801</f>
        <v>50.099999999999994</v>
      </c>
    </row>
    <row r="802" spans="1:10" x14ac:dyDescent="0.3">
      <c r="A802" s="119"/>
      <c r="B802" s="12"/>
      <c r="C802" s="13"/>
      <c r="D802" s="52" t="s">
        <v>318</v>
      </c>
      <c r="E802" s="68"/>
      <c r="F802" s="565" t="s">
        <v>978</v>
      </c>
      <c r="G802" s="566"/>
      <c r="H802" s="566"/>
      <c r="I802" s="567"/>
      <c r="J802" s="62">
        <f>-(0.8+0.8+0.8+0.8)*2.1</f>
        <v>-6.7200000000000006</v>
      </c>
    </row>
    <row r="803" spans="1:10" x14ac:dyDescent="0.3">
      <c r="A803" s="119"/>
      <c r="B803" s="12"/>
      <c r="C803" s="13"/>
      <c r="D803" s="52" t="s">
        <v>992</v>
      </c>
      <c r="E803" s="68"/>
      <c r="F803" s="565">
        <v>14.1</v>
      </c>
      <c r="G803" s="567"/>
      <c r="H803" s="579">
        <v>3</v>
      </c>
      <c r="I803" s="581"/>
      <c r="J803" s="62">
        <f>F803*H803</f>
        <v>42.3</v>
      </c>
    </row>
    <row r="804" spans="1:10" x14ac:dyDescent="0.3">
      <c r="A804" s="119"/>
      <c r="B804" s="12"/>
      <c r="C804" s="13"/>
      <c r="D804" s="52" t="s">
        <v>318</v>
      </c>
      <c r="E804" s="68"/>
      <c r="F804" s="579" t="s">
        <v>979</v>
      </c>
      <c r="G804" s="580"/>
      <c r="H804" s="580"/>
      <c r="I804" s="581"/>
      <c r="J804" s="62">
        <f>-((2.1*1)+(0.8*2.1))</f>
        <v>-3.7800000000000002</v>
      </c>
    </row>
    <row r="805" spans="1:10" x14ac:dyDescent="0.3">
      <c r="A805" s="119"/>
      <c r="B805" s="12"/>
      <c r="C805" s="13"/>
      <c r="D805" s="52" t="s">
        <v>993</v>
      </c>
      <c r="E805" s="68"/>
      <c r="F805" s="565">
        <v>15.4</v>
      </c>
      <c r="G805" s="567"/>
      <c r="H805" s="579">
        <v>3</v>
      </c>
      <c r="I805" s="581"/>
      <c r="J805" s="62">
        <f>F805*H805</f>
        <v>46.2</v>
      </c>
    </row>
    <row r="806" spans="1:10" x14ac:dyDescent="0.3">
      <c r="A806" s="119"/>
      <c r="B806" s="12"/>
      <c r="C806" s="13"/>
      <c r="D806" s="52" t="s">
        <v>318</v>
      </c>
      <c r="E806" s="68"/>
      <c r="F806" s="579" t="s">
        <v>980</v>
      </c>
      <c r="G806" s="580"/>
      <c r="H806" s="580"/>
      <c r="I806" s="581"/>
      <c r="J806" s="62">
        <f>-((2.4*2.1)+(1.5*1))</f>
        <v>-6.54</v>
      </c>
    </row>
    <row r="807" spans="1:10" x14ac:dyDescent="0.3">
      <c r="A807" s="119"/>
      <c r="B807" s="12"/>
      <c r="C807" s="13"/>
      <c r="D807" s="52" t="s">
        <v>994</v>
      </c>
      <c r="E807" s="68"/>
      <c r="F807" s="565">
        <v>16.399999999999999</v>
      </c>
      <c r="G807" s="567"/>
      <c r="H807" s="579">
        <v>3</v>
      </c>
      <c r="I807" s="581"/>
      <c r="J807" s="62">
        <f>F807*H807</f>
        <v>49.199999999999996</v>
      </c>
    </row>
    <row r="808" spans="1:10" x14ac:dyDescent="0.3">
      <c r="A808" s="119"/>
      <c r="B808" s="12"/>
      <c r="C808" s="13"/>
      <c r="D808" s="52" t="s">
        <v>318</v>
      </c>
      <c r="E808" s="68"/>
      <c r="F808" s="565" t="s">
        <v>979</v>
      </c>
      <c r="G808" s="566"/>
      <c r="H808" s="566"/>
      <c r="I808" s="567"/>
      <c r="J808" s="62">
        <f>-((2.1*1)+(0.8*2.1))</f>
        <v>-3.7800000000000002</v>
      </c>
    </row>
    <row r="809" spans="1:10" x14ac:dyDescent="0.3">
      <c r="A809" s="119"/>
      <c r="B809" s="12"/>
      <c r="C809" s="13"/>
      <c r="D809" s="52" t="s">
        <v>995</v>
      </c>
      <c r="E809" s="68"/>
      <c r="F809" s="565">
        <v>14.4</v>
      </c>
      <c r="G809" s="567"/>
      <c r="H809" s="579">
        <v>3</v>
      </c>
      <c r="I809" s="581"/>
      <c r="J809" s="62">
        <f>H809*F809</f>
        <v>43.2</v>
      </c>
    </row>
    <row r="810" spans="1:10" x14ac:dyDescent="0.3">
      <c r="A810" s="119"/>
      <c r="B810" s="12"/>
      <c r="C810" s="13"/>
      <c r="D810" s="52" t="s">
        <v>318</v>
      </c>
      <c r="E810" s="68"/>
      <c r="F810" s="579" t="s">
        <v>981</v>
      </c>
      <c r="G810" s="580"/>
      <c r="H810" s="580"/>
      <c r="I810" s="581"/>
      <c r="J810" s="62">
        <f>-((0.8*2.1*2)+(1.5*1))</f>
        <v>-4.8600000000000003</v>
      </c>
    </row>
    <row r="811" spans="1:10" x14ac:dyDescent="0.3">
      <c r="A811" s="119"/>
      <c r="B811" s="12"/>
      <c r="C811" s="13"/>
      <c r="D811" s="52" t="s">
        <v>995</v>
      </c>
      <c r="E811" s="68"/>
      <c r="F811" s="565">
        <v>14.4</v>
      </c>
      <c r="G811" s="567"/>
      <c r="H811" s="579">
        <v>3</v>
      </c>
      <c r="I811" s="581"/>
      <c r="J811" s="62">
        <f>H811*F811</f>
        <v>43.2</v>
      </c>
    </row>
    <row r="812" spans="1:10" x14ac:dyDescent="0.3">
      <c r="A812" s="163"/>
      <c r="B812" s="66"/>
      <c r="C812" s="67"/>
      <c r="D812" s="52" t="s">
        <v>318</v>
      </c>
      <c r="E812" s="291"/>
      <c r="F812" s="579" t="s">
        <v>981</v>
      </c>
      <c r="G812" s="580"/>
      <c r="H812" s="580"/>
      <c r="I812" s="581"/>
      <c r="J812" s="62">
        <f>-((0.8*2.1*2)+(1.5*1))</f>
        <v>-4.8600000000000003</v>
      </c>
    </row>
    <row r="813" spans="1:10" ht="15" thickBot="1" x14ac:dyDescent="0.35">
      <c r="A813" s="599" t="s">
        <v>986</v>
      </c>
      <c r="B813" s="600"/>
      <c r="C813" s="600"/>
      <c r="D813" s="600"/>
      <c r="E813" s="600"/>
      <c r="F813" s="600"/>
      <c r="G813" s="600"/>
      <c r="H813" s="600"/>
      <c r="I813" s="601"/>
      <c r="J813" s="221">
        <f>SUM(J801:J812)</f>
        <v>243.65999999999997</v>
      </c>
    </row>
    <row r="814" spans="1:10" x14ac:dyDescent="0.3">
      <c r="A814" s="309"/>
      <c r="B814" s="310"/>
      <c r="C814" s="311"/>
      <c r="D814" s="228" t="s">
        <v>996</v>
      </c>
      <c r="E814" s="311"/>
      <c r="F814" s="568" t="s">
        <v>982</v>
      </c>
      <c r="G814" s="569"/>
      <c r="H814" s="570">
        <v>6</v>
      </c>
      <c r="I814" s="571"/>
      <c r="J814" s="220">
        <f>((39.14*9)+(23.27*14))*H814</f>
        <v>4068.24</v>
      </c>
    </row>
    <row r="815" spans="1:10" x14ac:dyDescent="0.3">
      <c r="A815" s="119"/>
      <c r="B815" s="12"/>
      <c r="C815" s="13"/>
      <c r="D815" s="52" t="s">
        <v>316</v>
      </c>
      <c r="E815" s="68"/>
      <c r="F815" s="565" t="s">
        <v>984</v>
      </c>
      <c r="G815" s="566"/>
      <c r="H815" s="566"/>
      <c r="I815" s="567"/>
      <c r="J815" s="62">
        <f>-((3.85*2.75)*32)</f>
        <v>-338.8</v>
      </c>
    </row>
    <row r="816" spans="1:10" x14ac:dyDescent="0.3">
      <c r="A816" s="119"/>
      <c r="B816" s="12"/>
      <c r="C816" s="13"/>
      <c r="D816" s="52" t="s">
        <v>983</v>
      </c>
      <c r="E816" s="68"/>
      <c r="F816" s="565" t="s">
        <v>985</v>
      </c>
      <c r="G816" s="566"/>
      <c r="H816" s="566"/>
      <c r="I816" s="567"/>
      <c r="J816" s="62">
        <f>-16*3.3*1.5</f>
        <v>-79.199999999999989</v>
      </c>
    </row>
    <row r="817" spans="1:10" ht="15" thickBot="1" x14ac:dyDescent="0.35">
      <c r="A817" s="599" t="s">
        <v>986</v>
      </c>
      <c r="B817" s="600"/>
      <c r="C817" s="600"/>
      <c r="D817" s="600"/>
      <c r="E817" s="600"/>
      <c r="F817" s="600"/>
      <c r="G817" s="600"/>
      <c r="H817" s="600"/>
      <c r="I817" s="601"/>
      <c r="J817" s="221">
        <f>SUM(J814:J816)</f>
        <v>3650.24</v>
      </c>
    </row>
    <row r="818" spans="1:10" x14ac:dyDescent="0.3">
      <c r="A818" s="309"/>
      <c r="B818" s="310"/>
      <c r="C818" s="311"/>
      <c r="D818" s="228" t="s">
        <v>997</v>
      </c>
      <c r="E818" s="311"/>
      <c r="F818" s="568">
        <v>28</v>
      </c>
      <c r="G818" s="569"/>
      <c r="H818" s="570">
        <v>1.5</v>
      </c>
      <c r="I818" s="571"/>
      <c r="J818" s="220">
        <f>(32.7*2+2.54*2)*H818</f>
        <v>105.72</v>
      </c>
    </row>
    <row r="819" spans="1:10" x14ac:dyDescent="0.3">
      <c r="A819" s="119"/>
      <c r="B819" s="12"/>
      <c r="C819" s="13"/>
      <c r="D819" s="52" t="s">
        <v>316</v>
      </c>
      <c r="E819" s="68"/>
      <c r="F819" s="565" t="s">
        <v>987</v>
      </c>
      <c r="G819" s="566"/>
      <c r="H819" s="566"/>
      <c r="I819" s="567"/>
      <c r="J819" s="62">
        <f>-((2*0.6)+(1.5*0.6))</f>
        <v>-2.0999999999999996</v>
      </c>
    </row>
    <row r="820" spans="1:10" ht="15" thickBot="1" x14ac:dyDescent="0.35">
      <c r="A820" s="599" t="s">
        <v>986</v>
      </c>
      <c r="B820" s="600"/>
      <c r="C820" s="600"/>
      <c r="D820" s="600"/>
      <c r="E820" s="600"/>
      <c r="F820" s="600"/>
      <c r="G820" s="600"/>
      <c r="H820" s="600"/>
      <c r="I820" s="601"/>
      <c r="J820" s="221">
        <f>SUM(J818:J819)</f>
        <v>103.62</v>
      </c>
    </row>
    <row r="821" spans="1:10" x14ac:dyDescent="0.3">
      <c r="A821" s="309"/>
      <c r="B821" s="310"/>
      <c r="C821" s="311"/>
      <c r="D821" s="228" t="s">
        <v>998</v>
      </c>
      <c r="E821" s="311"/>
      <c r="F821" s="568">
        <v>10.09</v>
      </c>
      <c r="G821" s="569"/>
      <c r="H821" s="570">
        <v>2.65</v>
      </c>
      <c r="I821" s="571"/>
      <c r="J821" s="229">
        <f>(32.7*2+2.54*2)*H821</f>
        <v>186.77199999999999</v>
      </c>
    </row>
    <row r="822" spans="1:10" x14ac:dyDescent="0.3">
      <c r="A822" s="119"/>
      <c r="B822" s="12"/>
      <c r="C822" s="13"/>
      <c r="D822" s="52" t="s">
        <v>316</v>
      </c>
      <c r="E822" s="68"/>
      <c r="F822" s="565" t="s">
        <v>988</v>
      </c>
      <c r="G822" s="566"/>
      <c r="H822" s="566"/>
      <c r="I822" s="567"/>
      <c r="J822" s="53">
        <f>-0.8*2.1</f>
        <v>-1.6800000000000002</v>
      </c>
    </row>
    <row r="823" spans="1:10" x14ac:dyDescent="0.3">
      <c r="A823" s="119"/>
      <c r="B823" s="12"/>
      <c r="C823" s="13"/>
      <c r="D823" s="52" t="s">
        <v>999</v>
      </c>
      <c r="E823" s="68"/>
      <c r="F823" s="565">
        <v>4.6500000000000004</v>
      </c>
      <c r="G823" s="567"/>
      <c r="H823" s="579">
        <v>2.65</v>
      </c>
      <c r="I823" s="581"/>
      <c r="J823" s="53">
        <f>F823*H823</f>
        <v>12.3225</v>
      </c>
    </row>
    <row r="824" spans="1:10" x14ac:dyDescent="0.3">
      <c r="A824" s="119"/>
      <c r="B824" s="12"/>
      <c r="C824" s="13"/>
      <c r="D824" s="52" t="s">
        <v>316</v>
      </c>
      <c r="E824" s="68"/>
      <c r="F824" s="565" t="s">
        <v>989</v>
      </c>
      <c r="G824" s="566"/>
      <c r="H824" s="566"/>
      <c r="I824" s="567"/>
      <c r="J824" s="53">
        <f>-((1.35*2.1)+(0.8*2.1*2))</f>
        <v>-6.1950000000000003</v>
      </c>
    </row>
    <row r="825" spans="1:10" x14ac:dyDescent="0.3">
      <c r="A825" s="119"/>
      <c r="B825" s="12"/>
      <c r="C825" s="13"/>
      <c r="D825" s="52" t="s">
        <v>1000</v>
      </c>
      <c r="E825" s="68"/>
      <c r="F825" s="565">
        <v>10.19</v>
      </c>
      <c r="G825" s="567"/>
      <c r="H825" s="579">
        <v>2.65</v>
      </c>
      <c r="I825" s="581"/>
      <c r="J825" s="53">
        <f>F825*H825</f>
        <v>27.003499999999999</v>
      </c>
    </row>
    <row r="826" spans="1:10" x14ac:dyDescent="0.3">
      <c r="A826" s="119"/>
      <c r="B826" s="12"/>
      <c r="C826" s="13"/>
      <c r="D826" s="52" t="s">
        <v>318</v>
      </c>
      <c r="E826" s="68"/>
      <c r="F826" s="565" t="s">
        <v>990</v>
      </c>
      <c r="G826" s="566"/>
      <c r="H826" s="566"/>
      <c r="I826" s="567"/>
      <c r="J826" s="53">
        <f>-((0.8*2.1)+(0.7*2.1)+(0.7*1*2)+(1.5*1))</f>
        <v>-6.0500000000000007</v>
      </c>
    </row>
    <row r="827" spans="1:10" x14ac:dyDescent="0.3">
      <c r="A827" s="595" t="s">
        <v>436</v>
      </c>
      <c r="B827" s="596"/>
      <c r="C827" s="596"/>
      <c r="D827" s="596"/>
      <c r="E827" s="596"/>
      <c r="F827" s="596"/>
      <c r="G827" s="596"/>
      <c r="H827" s="596"/>
      <c r="I827" s="597"/>
      <c r="J827" s="168">
        <f>SUM(J821:J826)</f>
        <v>212.17299999999997</v>
      </c>
    </row>
    <row r="828" spans="1:10" ht="15" thickBot="1" x14ac:dyDescent="0.35">
      <c r="A828" s="559" t="s">
        <v>58</v>
      </c>
      <c r="B828" s="560"/>
      <c r="C828" s="560"/>
      <c r="D828" s="560"/>
      <c r="E828" s="560"/>
      <c r="F828" s="560"/>
      <c r="G828" s="560"/>
      <c r="H828" s="560"/>
      <c r="I828" s="561"/>
      <c r="J828" s="221">
        <f>J813+J817+J820+J827</f>
        <v>4209.6929999999993</v>
      </c>
    </row>
    <row r="829" spans="1:10" x14ac:dyDescent="0.3">
      <c r="A829" s="215" t="str">
        <f>ORÇAMENTO!A371</f>
        <v>21.5</v>
      </c>
      <c r="B829" s="218">
        <f>ORÇAMENTO!C371</f>
        <v>261302</v>
      </c>
      <c r="C829" s="216">
        <f>ORÇAMENTO!C371</f>
        <v>261302</v>
      </c>
      <c r="D829" s="219" t="str">
        <f>ORÇAMENTO!D371</f>
        <v xml:space="preserve">PINTURA LATEX DUAS DEMAOS COM SELADOR </v>
      </c>
      <c r="E829" s="216" t="str">
        <f>ORÇAMENTO!F371</f>
        <v>m2</v>
      </c>
      <c r="F829" s="570" t="s">
        <v>66</v>
      </c>
      <c r="G829" s="594"/>
      <c r="H829" s="594"/>
      <c r="I829" s="571"/>
      <c r="J829" s="220" t="s">
        <v>65</v>
      </c>
    </row>
    <row r="830" spans="1:10" x14ac:dyDescent="0.3">
      <c r="A830" s="119"/>
      <c r="B830" s="12"/>
      <c r="C830" s="13"/>
      <c r="D830" s="52" t="s">
        <v>1006</v>
      </c>
      <c r="E830" s="68"/>
      <c r="F830" s="579">
        <f>J828</f>
        <v>4209.6929999999993</v>
      </c>
      <c r="G830" s="580"/>
      <c r="H830" s="580"/>
      <c r="I830" s="581"/>
      <c r="J830" s="62">
        <f>F830</f>
        <v>4209.6929999999993</v>
      </c>
    </row>
    <row r="831" spans="1:10" x14ac:dyDescent="0.3">
      <c r="A831" s="119"/>
      <c r="B831" s="12"/>
      <c r="C831" s="13"/>
      <c r="D831" s="52" t="s">
        <v>1007</v>
      </c>
      <c r="E831" s="68"/>
      <c r="F831" s="565">
        <v>4.5</v>
      </c>
      <c r="G831" s="566"/>
      <c r="H831" s="566"/>
      <c r="I831" s="567"/>
      <c r="J831" s="62">
        <f t="shared" ref="J831:J853" si="35">F831</f>
        <v>4.5</v>
      </c>
    </row>
    <row r="832" spans="1:10" x14ac:dyDescent="0.3">
      <c r="A832" s="119"/>
      <c r="B832" s="12"/>
      <c r="C832" s="13"/>
      <c r="D832" s="52" t="s">
        <v>1008</v>
      </c>
      <c r="E832" s="68"/>
      <c r="F832" s="565">
        <v>7.65</v>
      </c>
      <c r="G832" s="566"/>
      <c r="H832" s="566"/>
      <c r="I832" s="567"/>
      <c r="J832" s="62">
        <f t="shared" si="35"/>
        <v>7.65</v>
      </c>
    </row>
    <row r="833" spans="1:10" x14ac:dyDescent="0.3">
      <c r="A833" s="119"/>
      <c r="B833" s="12"/>
      <c r="C833" s="13"/>
      <c r="D833" s="52" t="s">
        <v>1010</v>
      </c>
      <c r="E833" s="68"/>
      <c r="F833" s="565">
        <v>5.18</v>
      </c>
      <c r="G833" s="566"/>
      <c r="H833" s="566"/>
      <c r="I833" s="567"/>
      <c r="J833" s="62">
        <f t="shared" si="35"/>
        <v>5.18</v>
      </c>
    </row>
    <row r="834" spans="1:10" x14ac:dyDescent="0.3">
      <c r="A834" s="119"/>
      <c r="B834" s="12"/>
      <c r="C834" s="13"/>
      <c r="D834" s="52" t="s">
        <v>1010</v>
      </c>
      <c r="E834" s="68"/>
      <c r="F834" s="565">
        <v>5.18</v>
      </c>
      <c r="G834" s="566"/>
      <c r="H834" s="566"/>
      <c r="I834" s="567"/>
      <c r="J834" s="62">
        <f t="shared" si="35"/>
        <v>5.18</v>
      </c>
    </row>
    <row r="835" spans="1:10" x14ac:dyDescent="0.3">
      <c r="A835" s="119"/>
      <c r="B835" s="12"/>
      <c r="C835" s="13"/>
      <c r="D835" s="52" t="s">
        <v>1009</v>
      </c>
      <c r="E835" s="68"/>
      <c r="F835" s="565">
        <v>7.85</v>
      </c>
      <c r="G835" s="566"/>
      <c r="H835" s="566"/>
      <c r="I835" s="567"/>
      <c r="J835" s="62">
        <f t="shared" si="35"/>
        <v>7.85</v>
      </c>
    </row>
    <row r="836" spans="1:10" x14ac:dyDescent="0.3">
      <c r="A836" s="119"/>
      <c r="B836" s="12"/>
      <c r="C836" s="13"/>
      <c r="D836" s="52" t="s">
        <v>1011</v>
      </c>
      <c r="E836" s="68"/>
      <c r="F836" s="565">
        <v>12.2</v>
      </c>
      <c r="G836" s="566"/>
      <c r="H836" s="566"/>
      <c r="I836" s="567"/>
      <c r="J836" s="62">
        <f t="shared" si="35"/>
        <v>12.2</v>
      </c>
    </row>
    <row r="837" spans="1:10" x14ac:dyDescent="0.3">
      <c r="A837" s="119"/>
      <c r="B837" s="12"/>
      <c r="C837" s="13"/>
      <c r="D837" s="52" t="s">
        <v>1012</v>
      </c>
      <c r="E837" s="68"/>
      <c r="F837" s="565">
        <v>16.8</v>
      </c>
      <c r="G837" s="566"/>
      <c r="H837" s="566"/>
      <c r="I837" s="567"/>
      <c r="J837" s="62">
        <f t="shared" si="35"/>
        <v>16.8</v>
      </c>
    </row>
    <row r="838" spans="1:10" x14ac:dyDescent="0.3">
      <c r="A838" s="119"/>
      <c r="B838" s="12"/>
      <c r="C838" s="13"/>
      <c r="D838" s="52" t="s">
        <v>1013</v>
      </c>
      <c r="E838" s="68"/>
      <c r="F838" s="565">
        <v>16.8</v>
      </c>
      <c r="G838" s="566"/>
      <c r="H838" s="566"/>
      <c r="I838" s="567"/>
      <c r="J838" s="62">
        <f t="shared" si="35"/>
        <v>16.8</v>
      </c>
    </row>
    <row r="839" spans="1:10" x14ac:dyDescent="0.3">
      <c r="A839" s="119"/>
      <c r="B839" s="12"/>
      <c r="C839" s="13"/>
      <c r="D839" s="52" t="s">
        <v>1014</v>
      </c>
      <c r="E839" s="68"/>
      <c r="F839" s="565">
        <v>12.6</v>
      </c>
      <c r="G839" s="566"/>
      <c r="H839" s="566"/>
      <c r="I839" s="567"/>
      <c r="J839" s="62">
        <f t="shared" si="35"/>
        <v>12.6</v>
      </c>
    </row>
    <row r="840" spans="1:10" x14ac:dyDescent="0.3">
      <c r="A840" s="119"/>
      <c r="B840" s="12"/>
      <c r="C840" s="13"/>
      <c r="D840" s="52" t="s">
        <v>1015</v>
      </c>
      <c r="E840" s="68"/>
      <c r="F840" s="565">
        <v>12.6</v>
      </c>
      <c r="G840" s="566"/>
      <c r="H840" s="566"/>
      <c r="I840" s="567"/>
      <c r="J840" s="62">
        <f t="shared" si="35"/>
        <v>12.6</v>
      </c>
    </row>
    <row r="841" spans="1:10" x14ac:dyDescent="0.3">
      <c r="A841" s="119"/>
      <c r="B841" s="12"/>
      <c r="C841" s="13"/>
      <c r="D841" s="52" t="s">
        <v>1016</v>
      </c>
      <c r="E841" s="68"/>
      <c r="F841" s="565">
        <v>12.6</v>
      </c>
      <c r="G841" s="566"/>
      <c r="H841" s="566"/>
      <c r="I841" s="567"/>
      <c r="J841" s="53">
        <f t="shared" si="35"/>
        <v>12.6</v>
      </c>
    </row>
    <row r="842" spans="1:10" x14ac:dyDescent="0.3">
      <c r="A842" s="119"/>
      <c r="B842" s="12"/>
      <c r="C842" s="13"/>
      <c r="D842" s="52" t="s">
        <v>1016</v>
      </c>
      <c r="E842" s="68"/>
      <c r="F842" s="565">
        <v>12.6</v>
      </c>
      <c r="G842" s="566"/>
      <c r="H842" s="566"/>
      <c r="I842" s="567"/>
      <c r="J842" s="53">
        <f t="shared" si="35"/>
        <v>12.6</v>
      </c>
    </row>
    <row r="843" spans="1:10" x14ac:dyDescent="0.3">
      <c r="A843" s="119"/>
      <c r="B843" s="12"/>
      <c r="C843" s="13"/>
      <c r="D843" s="52" t="s">
        <v>1015</v>
      </c>
      <c r="E843" s="68"/>
      <c r="F843" s="565">
        <v>12.6</v>
      </c>
      <c r="G843" s="566"/>
      <c r="H843" s="566"/>
      <c r="I843" s="567"/>
      <c r="J843" s="53">
        <f t="shared" si="35"/>
        <v>12.6</v>
      </c>
    </row>
    <row r="844" spans="1:10" x14ac:dyDescent="0.3">
      <c r="A844" s="119"/>
      <c r="B844" s="12"/>
      <c r="C844" s="13"/>
      <c r="D844" s="52" t="s">
        <v>1014</v>
      </c>
      <c r="E844" s="68"/>
      <c r="F844" s="565">
        <v>12.6</v>
      </c>
      <c r="G844" s="566"/>
      <c r="H844" s="566"/>
      <c r="I844" s="567"/>
      <c r="J844" s="53">
        <f t="shared" si="35"/>
        <v>12.6</v>
      </c>
    </row>
    <row r="845" spans="1:10" x14ac:dyDescent="0.3">
      <c r="A845" s="119"/>
      <c r="B845" s="12"/>
      <c r="C845" s="13"/>
      <c r="D845" s="52" t="s">
        <v>1017</v>
      </c>
      <c r="E845" s="68"/>
      <c r="F845" s="565">
        <v>17.45</v>
      </c>
      <c r="G845" s="566"/>
      <c r="H845" s="566"/>
      <c r="I845" s="567"/>
      <c r="J845" s="53">
        <f t="shared" si="35"/>
        <v>17.45</v>
      </c>
    </row>
    <row r="846" spans="1:10" x14ac:dyDescent="0.3">
      <c r="A846" s="119"/>
      <c r="B846" s="12"/>
      <c r="C846" s="13"/>
      <c r="D846" s="52" t="s">
        <v>1018</v>
      </c>
      <c r="E846" s="68"/>
      <c r="F846" s="565">
        <v>3</v>
      </c>
      <c r="G846" s="566"/>
      <c r="H846" s="566"/>
      <c r="I846" s="567"/>
      <c r="J846" s="53">
        <f t="shared" si="35"/>
        <v>3</v>
      </c>
    </row>
    <row r="847" spans="1:10" x14ac:dyDescent="0.3">
      <c r="A847" s="119"/>
      <c r="B847" s="12"/>
      <c r="C847" s="13"/>
      <c r="D847" s="52" t="s">
        <v>1019</v>
      </c>
      <c r="E847" s="68"/>
      <c r="F847" s="565">
        <v>17.45</v>
      </c>
      <c r="G847" s="566"/>
      <c r="H847" s="566"/>
      <c r="I847" s="567"/>
      <c r="J847" s="53">
        <f t="shared" si="35"/>
        <v>17.45</v>
      </c>
    </row>
    <row r="848" spans="1:10" x14ac:dyDescent="0.3">
      <c r="A848" s="119"/>
      <c r="B848" s="12"/>
      <c r="C848" s="13"/>
      <c r="D848" s="52" t="s">
        <v>1020</v>
      </c>
      <c r="E848" s="68"/>
      <c r="F848" s="565">
        <v>3</v>
      </c>
      <c r="G848" s="566"/>
      <c r="H848" s="566"/>
      <c r="I848" s="567"/>
      <c r="J848" s="53">
        <f t="shared" si="35"/>
        <v>3</v>
      </c>
    </row>
    <row r="849" spans="1:10" x14ac:dyDescent="0.3">
      <c r="A849" s="119"/>
      <c r="B849" s="12"/>
      <c r="C849" s="13"/>
      <c r="D849" s="52" t="s">
        <v>1021</v>
      </c>
      <c r="E849" s="68"/>
      <c r="F849" s="578">
        <v>40</v>
      </c>
      <c r="G849" s="578"/>
      <c r="H849" s="578"/>
      <c r="I849" s="578"/>
      <c r="J849" s="53">
        <f t="shared" si="35"/>
        <v>40</v>
      </c>
    </row>
    <row r="850" spans="1:10" x14ac:dyDescent="0.3">
      <c r="A850" s="119"/>
      <c r="B850" s="12"/>
      <c r="C850" s="13"/>
      <c r="D850" s="52" t="s">
        <v>1022</v>
      </c>
      <c r="E850" s="68"/>
      <c r="F850" s="578">
        <v>6.04</v>
      </c>
      <c r="G850" s="578"/>
      <c r="H850" s="578"/>
      <c r="I850" s="578"/>
      <c r="J850" s="53">
        <f t="shared" si="35"/>
        <v>6.04</v>
      </c>
    </row>
    <row r="851" spans="1:10" x14ac:dyDescent="0.3">
      <c r="A851" s="119"/>
      <c r="B851" s="12"/>
      <c r="C851" s="13"/>
      <c r="D851" s="52" t="s">
        <v>1023</v>
      </c>
      <c r="E851" s="68"/>
      <c r="F851" s="578">
        <v>2.02</v>
      </c>
      <c r="G851" s="578"/>
      <c r="H851" s="578"/>
      <c r="I851" s="578"/>
      <c r="J851" s="53">
        <f t="shared" si="35"/>
        <v>2.02</v>
      </c>
    </row>
    <row r="852" spans="1:10" x14ac:dyDescent="0.3">
      <c r="A852" s="119"/>
      <c r="B852" s="12"/>
      <c r="C852" s="13"/>
      <c r="D852" s="52" t="s">
        <v>1024</v>
      </c>
      <c r="E852" s="68"/>
      <c r="F852" s="578">
        <v>2.2200000000000002</v>
      </c>
      <c r="G852" s="578"/>
      <c r="H852" s="578"/>
      <c r="I852" s="578"/>
      <c r="J852" s="53">
        <f t="shared" si="35"/>
        <v>2.2200000000000002</v>
      </c>
    </row>
    <row r="853" spans="1:10" x14ac:dyDescent="0.3">
      <c r="A853" s="119"/>
      <c r="B853" s="12"/>
      <c r="C853" s="13"/>
      <c r="D853" s="52" t="s">
        <v>1025</v>
      </c>
      <c r="E853" s="68"/>
      <c r="F853" s="578">
        <v>6.19</v>
      </c>
      <c r="G853" s="578"/>
      <c r="H853" s="578"/>
      <c r="I853" s="578"/>
      <c r="J853" s="53">
        <f t="shared" si="35"/>
        <v>6.19</v>
      </c>
    </row>
    <row r="854" spans="1:10" ht="15" thickBot="1" x14ac:dyDescent="0.35">
      <c r="A854" s="599" t="s">
        <v>436</v>
      </c>
      <c r="B854" s="600"/>
      <c r="C854" s="600"/>
      <c r="D854" s="600"/>
      <c r="E854" s="600"/>
      <c r="F854" s="600"/>
      <c r="G854" s="600"/>
      <c r="H854" s="600"/>
      <c r="I854" s="601"/>
      <c r="J854" s="221">
        <f>SUM(J830:J853)</f>
        <v>4458.8230000000021</v>
      </c>
    </row>
    <row r="855" spans="1:10" x14ac:dyDescent="0.3">
      <c r="A855" s="215" t="str">
        <f>ORÇAMENTO!A372</f>
        <v>21.6</v>
      </c>
      <c r="B855" s="218" t="str">
        <f>ORÇAMENTO!B372</f>
        <v>GOINFRA</v>
      </c>
      <c r="C855" s="216">
        <f>ORÇAMENTO!C372</f>
        <v>261504</v>
      </c>
      <c r="D855" s="219" t="str">
        <f>ORÇAMENTO!D372</f>
        <v xml:space="preserve"> PINTURA ESMALTE 1 DEMÃO ESQUADRIA METALICA S/FUNDO ANTICORR.</v>
      </c>
      <c r="E855" s="216" t="str">
        <f>ORÇAMENTO!F372</f>
        <v>m2</v>
      </c>
      <c r="F855" s="568" t="s">
        <v>66</v>
      </c>
      <c r="G855" s="569"/>
      <c r="H855" s="570" t="s">
        <v>440</v>
      </c>
      <c r="I855" s="571"/>
      <c r="J855" s="220" t="s">
        <v>65</v>
      </c>
    </row>
    <row r="856" spans="1:10" x14ac:dyDescent="0.3">
      <c r="A856" s="119"/>
      <c r="B856" s="12"/>
      <c r="C856" s="13"/>
      <c r="D856" s="52" t="str">
        <f>D793</f>
        <v>Item 15.1</v>
      </c>
      <c r="E856" s="13"/>
      <c r="F856" s="565">
        <f>F793</f>
        <v>346.3</v>
      </c>
      <c r="G856" s="567"/>
      <c r="H856" s="579">
        <v>2</v>
      </c>
      <c r="I856" s="581"/>
      <c r="J856" s="62"/>
    </row>
    <row r="857" spans="1:10" x14ac:dyDescent="0.3">
      <c r="A857" s="119"/>
      <c r="B857" s="12"/>
      <c r="C857" s="13"/>
      <c r="D857" s="52" t="str">
        <f t="shared" ref="D857:D860" si="36">D794</f>
        <v>Item 15.2</v>
      </c>
      <c r="E857" s="13"/>
      <c r="F857" s="565">
        <f t="shared" ref="F857:F861" si="37">F794</f>
        <v>21.5</v>
      </c>
      <c r="G857" s="567"/>
      <c r="H857" s="579">
        <v>2</v>
      </c>
      <c r="I857" s="581"/>
      <c r="J857" s="62">
        <f t="shared" ref="J857:J861" si="38">H857*F857</f>
        <v>43</v>
      </c>
    </row>
    <row r="858" spans="1:10" x14ac:dyDescent="0.3">
      <c r="A858" s="119"/>
      <c r="B858" s="12"/>
      <c r="C858" s="13"/>
      <c r="D858" s="52" t="str">
        <f t="shared" si="36"/>
        <v>Item 15.3</v>
      </c>
      <c r="E858" s="13"/>
      <c r="F858" s="565">
        <f t="shared" si="37"/>
        <v>3.24</v>
      </c>
      <c r="G858" s="567"/>
      <c r="H858" s="579">
        <v>2</v>
      </c>
      <c r="I858" s="581"/>
      <c r="J858" s="62">
        <f t="shared" si="38"/>
        <v>6.48</v>
      </c>
    </row>
    <row r="859" spans="1:10" x14ac:dyDescent="0.3">
      <c r="A859" s="119"/>
      <c r="B859" s="12"/>
      <c r="C859" s="13"/>
      <c r="D859" s="52" t="str">
        <f t="shared" si="36"/>
        <v>Item 15.4</v>
      </c>
      <c r="E859" s="13"/>
      <c r="F859" s="565">
        <f t="shared" si="37"/>
        <v>5.4</v>
      </c>
      <c r="G859" s="567"/>
      <c r="H859" s="579">
        <v>2</v>
      </c>
      <c r="I859" s="581"/>
      <c r="J859" s="62">
        <f t="shared" si="38"/>
        <v>10.8</v>
      </c>
    </row>
    <row r="860" spans="1:10" x14ac:dyDescent="0.3">
      <c r="A860" s="119"/>
      <c r="B860" s="12"/>
      <c r="C860" s="13"/>
      <c r="D860" s="52" t="str">
        <f t="shared" si="36"/>
        <v>Item 15.6</v>
      </c>
      <c r="E860" s="13"/>
      <c r="F860" s="565">
        <f t="shared" si="37"/>
        <v>13.4</v>
      </c>
      <c r="G860" s="567"/>
      <c r="H860" s="579">
        <v>2</v>
      </c>
      <c r="I860" s="581"/>
      <c r="J860" s="62">
        <f t="shared" si="38"/>
        <v>26.8</v>
      </c>
    </row>
    <row r="861" spans="1:10" x14ac:dyDescent="0.3">
      <c r="A861" s="119"/>
      <c r="B861" s="12"/>
      <c r="C861" s="13"/>
      <c r="D861" s="52" t="str">
        <f>D798</f>
        <v>Item 15.7</v>
      </c>
      <c r="E861" s="13"/>
      <c r="F861" s="565">
        <f t="shared" si="37"/>
        <v>12</v>
      </c>
      <c r="G861" s="567"/>
      <c r="H861" s="579">
        <v>2</v>
      </c>
      <c r="I861" s="581"/>
      <c r="J861" s="62">
        <f t="shared" si="38"/>
        <v>24</v>
      </c>
    </row>
    <row r="862" spans="1:10" ht="15" thickBot="1" x14ac:dyDescent="0.35">
      <c r="A862" s="559" t="s">
        <v>58</v>
      </c>
      <c r="B862" s="560"/>
      <c r="C862" s="560"/>
      <c r="D862" s="560"/>
      <c r="E862" s="560"/>
      <c r="F862" s="560"/>
      <c r="G862" s="560"/>
      <c r="H862" s="560"/>
      <c r="I862" s="561"/>
      <c r="J862" s="221">
        <f>SUM(J856:J861)</f>
        <v>111.08</v>
      </c>
    </row>
    <row r="863" spans="1:10" x14ac:dyDescent="0.3">
      <c r="A863" s="215" t="str">
        <f>ORÇAMENTO!A373</f>
        <v>21.7</v>
      </c>
      <c r="B863" s="218" t="str">
        <f>ORÇAMENTO!B373</f>
        <v>GOINFRA</v>
      </c>
      <c r="C863" s="216">
        <f>ORÇAMENTO!C373</f>
        <v>261560</v>
      </c>
      <c r="D863" s="219" t="str">
        <f>ORÇAMENTO!D373</f>
        <v>PINTURA ESMALTE SINTETICO 2 DEMÃOS EM ESQ. MADEIRA</v>
      </c>
      <c r="E863" s="216" t="str">
        <f>ORÇAMENTO!F373</f>
        <v>m2</v>
      </c>
      <c r="F863" s="264" t="s">
        <v>67</v>
      </c>
      <c r="G863" s="264" t="s">
        <v>78</v>
      </c>
      <c r="H863" s="293" t="s">
        <v>79</v>
      </c>
      <c r="I863" s="293" t="s">
        <v>449</v>
      </c>
      <c r="J863" s="220" t="s">
        <v>65</v>
      </c>
    </row>
    <row r="864" spans="1:10" x14ac:dyDescent="0.3">
      <c r="A864" s="119"/>
      <c r="B864" s="12"/>
      <c r="C864" s="13"/>
      <c r="D864" s="52" t="s">
        <v>410</v>
      </c>
      <c r="E864" s="13"/>
      <c r="F864" s="153">
        <v>8</v>
      </c>
      <c r="G864" s="153">
        <v>0.86</v>
      </c>
      <c r="H864" s="68">
        <v>2.1</v>
      </c>
      <c r="I864" s="68">
        <v>2</v>
      </c>
      <c r="J864" s="62">
        <f>I864*H864*G864*F864</f>
        <v>28.896000000000001</v>
      </c>
    </row>
    <row r="865" spans="1:10" x14ac:dyDescent="0.3">
      <c r="A865" s="119"/>
      <c r="B865" s="12"/>
      <c r="C865" s="13"/>
      <c r="D865" s="52" t="s">
        <v>1028</v>
      </c>
      <c r="E865" s="13"/>
      <c r="F865" s="153">
        <v>1</v>
      </c>
      <c r="G865" s="153">
        <v>0.76</v>
      </c>
      <c r="H865" s="68">
        <v>2.1</v>
      </c>
      <c r="I865" s="68">
        <v>2</v>
      </c>
      <c r="J865" s="62">
        <f>I865*H865*G865*F865</f>
        <v>3.1920000000000002</v>
      </c>
    </row>
    <row r="866" spans="1:10" ht="15" thickBot="1" x14ac:dyDescent="0.35">
      <c r="A866" s="559" t="s">
        <v>58</v>
      </c>
      <c r="B866" s="560"/>
      <c r="C866" s="560"/>
      <c r="D866" s="560"/>
      <c r="E866" s="560"/>
      <c r="F866" s="560"/>
      <c r="G866" s="560"/>
      <c r="H866" s="560"/>
      <c r="I866" s="561"/>
      <c r="J866" s="221">
        <f>SUM(J864:J865)</f>
        <v>32.088000000000001</v>
      </c>
    </row>
    <row r="867" spans="1:10" x14ac:dyDescent="0.3">
      <c r="A867" s="215" t="str">
        <f>ORÇAMENTO!A374</f>
        <v>21.8</v>
      </c>
      <c r="B867" s="218" t="str">
        <f>ORÇAMENTO!B374</f>
        <v>GOINFRA</v>
      </c>
      <c r="C867" s="216">
        <f>ORÇAMENTO!C374</f>
        <v>261609</v>
      </c>
      <c r="D867" s="219" t="str">
        <f>ORÇAMENTO!D374</f>
        <v xml:space="preserve">PINTURA ESMALTE ALQUIDICO ESTR.METALICA 2 DEMAOS </v>
      </c>
      <c r="E867" s="216" t="str">
        <f>ORÇAMENTO!F374</f>
        <v>m2</v>
      </c>
      <c r="F867" s="570" t="s">
        <v>78</v>
      </c>
      <c r="G867" s="594"/>
      <c r="H867" s="594"/>
      <c r="I867" s="571"/>
      <c r="J867" s="229" t="s">
        <v>65</v>
      </c>
    </row>
    <row r="868" spans="1:10" x14ac:dyDescent="0.3">
      <c r="A868" s="119"/>
      <c r="B868" s="12"/>
      <c r="C868" s="13"/>
      <c r="D868" s="52" t="s">
        <v>1029</v>
      </c>
      <c r="E868" s="68"/>
      <c r="F868" s="579">
        <v>2195.5100000000002</v>
      </c>
      <c r="G868" s="580"/>
      <c r="H868" s="580"/>
      <c r="I868" s="581"/>
      <c r="J868" s="62">
        <f>F868</f>
        <v>2195.5100000000002</v>
      </c>
    </row>
    <row r="869" spans="1:10" x14ac:dyDescent="0.3">
      <c r="A869" s="119"/>
      <c r="B869" s="12"/>
      <c r="C869" s="13"/>
      <c r="D869" s="52" t="s">
        <v>1030</v>
      </c>
      <c r="E869" s="68"/>
      <c r="F869" s="565">
        <v>695.28</v>
      </c>
      <c r="G869" s="566"/>
      <c r="H869" s="566"/>
      <c r="I869" s="567"/>
      <c r="J869" s="62">
        <f>F869</f>
        <v>695.28</v>
      </c>
    </row>
    <row r="870" spans="1:10" x14ac:dyDescent="0.3">
      <c r="A870" s="119"/>
      <c r="B870" s="12"/>
      <c r="C870" s="13"/>
      <c r="D870" s="52" t="s">
        <v>767</v>
      </c>
      <c r="E870" s="68"/>
      <c r="F870" s="565" t="s">
        <v>1032</v>
      </c>
      <c r="G870" s="566"/>
      <c r="H870" s="566"/>
      <c r="I870" s="567"/>
      <c r="J870" s="62">
        <f>68.15*26</f>
        <v>1771.9</v>
      </c>
    </row>
    <row r="871" spans="1:10" x14ac:dyDescent="0.3">
      <c r="A871" s="119"/>
      <c r="B871" s="12"/>
      <c r="C871" s="13"/>
      <c r="D871" s="52" t="s">
        <v>1031</v>
      </c>
      <c r="E871" s="68"/>
      <c r="F871" s="579" t="s">
        <v>1033</v>
      </c>
      <c r="G871" s="580"/>
      <c r="H871" s="580"/>
      <c r="I871" s="581"/>
      <c r="J871" s="62">
        <f>13.5*8.4</f>
        <v>113.4</v>
      </c>
    </row>
    <row r="872" spans="1:10" ht="15" thickBot="1" x14ac:dyDescent="0.35">
      <c r="A872" s="559" t="s">
        <v>58</v>
      </c>
      <c r="B872" s="560"/>
      <c r="C872" s="560"/>
      <c r="D872" s="560"/>
      <c r="E872" s="560"/>
      <c r="F872" s="560"/>
      <c r="G872" s="560"/>
      <c r="H872" s="560"/>
      <c r="I872" s="561"/>
      <c r="J872" s="221">
        <f>SUM(J868:J871)</f>
        <v>4776.09</v>
      </c>
    </row>
    <row r="873" spans="1:10" x14ac:dyDescent="0.3">
      <c r="A873" s="215" t="str">
        <f>ORÇAMENTO!A375</f>
        <v>21.9</v>
      </c>
      <c r="B873" s="218" t="str">
        <f>ORÇAMENTO!B375</f>
        <v>GOINFRA</v>
      </c>
      <c r="C873" s="216">
        <f>ORÇAMENTO!C375</f>
        <v>261700</v>
      </c>
      <c r="D873" s="219" t="str">
        <f>ORÇAMENTO!D375</f>
        <v xml:space="preserve">DEMARC.QUADRA/VAGAS TINTA POLIESPORTIVA </v>
      </c>
      <c r="E873" s="216" t="str">
        <f>ORÇAMENTO!F375</f>
        <v xml:space="preserve">m </v>
      </c>
      <c r="F873" s="570" t="s">
        <v>71</v>
      </c>
      <c r="G873" s="594"/>
      <c r="H873" s="594"/>
      <c r="I873" s="571"/>
      <c r="J873" s="229" t="s">
        <v>65</v>
      </c>
    </row>
    <row r="874" spans="1:10" x14ac:dyDescent="0.3">
      <c r="A874" s="119"/>
      <c r="B874" s="12"/>
      <c r="C874" s="13"/>
      <c r="D874" s="52" t="s">
        <v>1035</v>
      </c>
      <c r="E874" s="13"/>
      <c r="F874" s="579" t="s">
        <v>1034</v>
      </c>
      <c r="G874" s="580"/>
      <c r="H874" s="580"/>
      <c r="I874" s="581"/>
      <c r="J874" s="62">
        <f>(13.5*3*6)+(12*3*6)+(5*10*6)+(5*9*6)</f>
        <v>1029</v>
      </c>
    </row>
    <row r="875" spans="1:10" ht="15" thickBot="1" x14ac:dyDescent="0.35">
      <c r="A875" s="559" t="s">
        <v>58</v>
      </c>
      <c r="B875" s="560"/>
      <c r="C875" s="560"/>
      <c r="D875" s="560"/>
      <c r="E875" s="560"/>
      <c r="F875" s="560"/>
      <c r="G875" s="560"/>
      <c r="H875" s="560"/>
      <c r="I875" s="561"/>
      <c r="J875" s="221">
        <f>SUM(J874:J874)</f>
        <v>1029</v>
      </c>
    </row>
    <row r="876" spans="1:10" x14ac:dyDescent="0.3">
      <c r="A876" s="215" t="str">
        <f>ORÇAMENTO!A376</f>
        <v>21.10</v>
      </c>
      <c r="B876" s="216" t="str">
        <f>ORÇAMENTO!B376</f>
        <v>GOINFRA</v>
      </c>
      <c r="C876" s="216">
        <f>ORÇAMENTO!C376</f>
        <v>261305</v>
      </c>
      <c r="D876" s="227" t="str">
        <f>ORÇAMENTO!D376</f>
        <v>EMASSAMENTO ACRÍLICO 1 DEMÃO EM PAREDE</v>
      </c>
      <c r="E876" s="216" t="str">
        <f>ORÇAMENTO!F376</f>
        <v xml:space="preserve">m2 </v>
      </c>
      <c r="F876" s="585"/>
      <c r="G876" s="586"/>
      <c r="H876" s="586"/>
      <c r="I876" s="587"/>
      <c r="J876" s="226"/>
    </row>
    <row r="877" spans="1:10" x14ac:dyDescent="0.3">
      <c r="A877" s="162"/>
      <c r="B877" s="210"/>
      <c r="C877" s="210"/>
      <c r="D877" s="297" t="s">
        <v>1204</v>
      </c>
      <c r="E877" s="210"/>
      <c r="F877" s="588">
        <f>J791</f>
        <v>1530.6660000000004</v>
      </c>
      <c r="G877" s="589"/>
      <c r="H877" s="589"/>
      <c r="I877" s="590"/>
      <c r="J877" s="53">
        <f>F877</f>
        <v>1530.6660000000004</v>
      </c>
    </row>
    <row r="878" spans="1:10" ht="15" thickBot="1" x14ac:dyDescent="0.35">
      <c r="A878" s="559" t="str">
        <f>A875</f>
        <v>TOTAL</v>
      </c>
      <c r="B878" s="560"/>
      <c r="C878" s="560"/>
      <c r="D878" s="560"/>
      <c r="E878" s="560"/>
      <c r="F878" s="560"/>
      <c r="G878" s="560"/>
      <c r="H878" s="560"/>
      <c r="I878" s="561"/>
      <c r="J878" s="221">
        <f>J877</f>
        <v>1530.6660000000004</v>
      </c>
    </row>
    <row r="879" spans="1:10" ht="15" thickBot="1" x14ac:dyDescent="0.35">
      <c r="A879" s="604" t="s">
        <v>56</v>
      </c>
      <c r="B879" s="605"/>
      <c r="C879" s="605"/>
      <c r="D879" s="605"/>
      <c r="E879" s="605"/>
      <c r="F879" s="605"/>
      <c r="G879" s="605"/>
      <c r="H879" s="605"/>
      <c r="I879" s="605"/>
      <c r="J879" s="606"/>
    </row>
    <row r="880" spans="1:10" x14ac:dyDescent="0.3">
      <c r="A880" s="309">
        <f>ORÇAMENTO!A379</f>
        <v>22</v>
      </c>
      <c r="B880" s="310" t="s">
        <v>11</v>
      </c>
      <c r="C880" s="311">
        <v>270000</v>
      </c>
      <c r="D880" s="677" t="s">
        <v>57</v>
      </c>
      <c r="E880" s="677"/>
      <c r="F880" s="677"/>
      <c r="G880" s="677"/>
      <c r="H880" s="677"/>
      <c r="I880" s="677"/>
      <c r="J880" s="333"/>
    </row>
    <row r="881" spans="1:10" x14ac:dyDescent="0.3">
      <c r="A881" s="119" t="str">
        <f>ORÇAMENTO!A380</f>
        <v>22.1</v>
      </c>
      <c r="B881" s="12" t="str">
        <f>ORÇAMENTO!B380</f>
        <v>GOINFRA</v>
      </c>
      <c r="C881" s="13">
        <f>ORÇAMENTO!C380</f>
        <v>270210</v>
      </c>
      <c r="D881" s="57" t="str">
        <f>ORÇAMENTO!D380</f>
        <v xml:space="preserve">PLANTIO GRAMA ESMERALDA PLACAC/ M.O. IRRI., ADUBO, TERRA VEGETAL (O.C.) A&lt;11.000M2 </v>
      </c>
      <c r="E881" s="13" t="str">
        <f>ORÇAMENTO!F380</f>
        <v xml:space="preserve">m2 </v>
      </c>
      <c r="F881" s="598" t="s">
        <v>78</v>
      </c>
      <c r="G881" s="598"/>
      <c r="H881" s="598"/>
      <c r="I881" s="598"/>
      <c r="J881" s="53" t="s">
        <v>65</v>
      </c>
    </row>
    <row r="882" spans="1:10" x14ac:dyDescent="0.3">
      <c r="A882" s="119"/>
      <c r="B882" s="12"/>
      <c r="C882" s="13"/>
      <c r="D882" s="52" t="s">
        <v>1036</v>
      </c>
      <c r="E882" s="68"/>
      <c r="F882" s="598" t="s">
        <v>1038</v>
      </c>
      <c r="G882" s="598"/>
      <c r="H882" s="598"/>
      <c r="I882" s="598"/>
      <c r="J882" s="53">
        <f>15.74*4</f>
        <v>62.96</v>
      </c>
    </row>
    <row r="883" spans="1:10" x14ac:dyDescent="0.3">
      <c r="A883" s="119"/>
      <c r="B883" s="12"/>
      <c r="C883" s="13"/>
      <c r="D883" s="52" t="s">
        <v>1037</v>
      </c>
      <c r="E883" s="68"/>
      <c r="F883" s="578">
        <v>415.56</v>
      </c>
      <c r="G883" s="578"/>
      <c r="H883" s="578"/>
      <c r="I883" s="578"/>
      <c r="J883" s="53">
        <v>415.56</v>
      </c>
    </row>
    <row r="884" spans="1:10" ht="15" thickBot="1" x14ac:dyDescent="0.35">
      <c r="A884" s="633" t="s">
        <v>58</v>
      </c>
      <c r="B884" s="634"/>
      <c r="C884" s="634"/>
      <c r="D884" s="634"/>
      <c r="E884" s="634"/>
      <c r="F884" s="634"/>
      <c r="G884" s="634"/>
      <c r="H884" s="634"/>
      <c r="I884" s="634"/>
      <c r="J884" s="166">
        <f>J882+J883</f>
        <v>478.52</v>
      </c>
    </row>
    <row r="885" spans="1:10" x14ac:dyDescent="0.3">
      <c r="A885" s="215" t="str">
        <f>ORÇAMENTO!A381</f>
        <v>22.2</v>
      </c>
      <c r="B885" s="216" t="str">
        <f>ORÇAMENTO!B381</f>
        <v>GOINFRA</v>
      </c>
      <c r="C885" s="216">
        <f>ORÇAMENTO!C381</f>
        <v>270207</v>
      </c>
      <c r="D885" s="227" t="str">
        <f>ORÇAMENTO!D381</f>
        <v>PLANTIO GRAMA BATATAIS PLACA C/ M.O. IRRIG.ADUBO,TER.VEG.(OC) A&lt;11.000M2</v>
      </c>
      <c r="E885" s="216" t="str">
        <f>ORÇAMENTO!F381</f>
        <v xml:space="preserve">m2 </v>
      </c>
      <c r="F885" s="562" t="s">
        <v>73</v>
      </c>
      <c r="G885" s="562"/>
      <c r="H885" s="562"/>
      <c r="I885" s="562"/>
      <c r="J885" s="229" t="s">
        <v>65</v>
      </c>
    </row>
    <row r="886" spans="1:10" x14ac:dyDescent="0.3">
      <c r="A886" s="119"/>
      <c r="B886" s="12"/>
      <c r="C886" s="13"/>
      <c r="D886" s="52" t="s">
        <v>1039</v>
      </c>
      <c r="E886" s="68"/>
      <c r="F886" s="598" t="s">
        <v>1040</v>
      </c>
      <c r="G886" s="598"/>
      <c r="H886" s="598"/>
      <c r="I886" s="598"/>
      <c r="J886" s="53">
        <f>732.17+569.9+51.03+120.56+149.95+242.08+336.65+137.55</f>
        <v>2339.89</v>
      </c>
    </row>
    <row r="887" spans="1:10" ht="15" thickBot="1" x14ac:dyDescent="0.35">
      <c r="A887" s="633" t="s">
        <v>58</v>
      </c>
      <c r="B887" s="634"/>
      <c r="C887" s="634"/>
      <c r="D887" s="634"/>
      <c r="E887" s="634"/>
      <c r="F887" s="634"/>
      <c r="G887" s="634"/>
      <c r="H887" s="634"/>
      <c r="I887" s="634"/>
      <c r="J887" s="166">
        <f>SUM(J886:J886)</f>
        <v>2339.89</v>
      </c>
    </row>
    <row r="888" spans="1:10" x14ac:dyDescent="0.3">
      <c r="A888" s="215" t="str">
        <f>ORÇAMENTO!A382</f>
        <v>22.3</v>
      </c>
      <c r="B888" s="218" t="str">
        <f>ORÇAMENTO!B382</f>
        <v>GOINFRA</v>
      </c>
      <c r="C888" s="216">
        <f>ORÇAMENTO!C382</f>
        <v>270501</v>
      </c>
      <c r="D888" s="228" t="str">
        <f>ORÇAMENTO!D382</f>
        <v xml:space="preserve">LIMPEZA FINAL DE OBRA - (OBRAS CIVIS) </v>
      </c>
      <c r="E888" s="216" t="str">
        <f>ORÇAMENTO!F382</f>
        <v xml:space="preserve">m2 </v>
      </c>
      <c r="F888" s="562" t="s">
        <v>73</v>
      </c>
      <c r="G888" s="562"/>
      <c r="H888" s="562"/>
      <c r="I888" s="562"/>
      <c r="J888" s="229" t="s">
        <v>65</v>
      </c>
    </row>
    <row r="889" spans="1:10" x14ac:dyDescent="0.3">
      <c r="A889" s="119"/>
      <c r="B889" s="12"/>
      <c r="C889" s="13"/>
      <c r="D889" s="52" t="s">
        <v>766</v>
      </c>
      <c r="E889" s="68"/>
      <c r="F889" s="578">
        <v>2559</v>
      </c>
      <c r="G889" s="578"/>
      <c r="H889" s="578"/>
      <c r="I889" s="578"/>
      <c r="J889" s="53">
        <f>F889</f>
        <v>2559</v>
      </c>
    </row>
    <row r="890" spans="1:10" x14ac:dyDescent="0.3">
      <c r="A890" s="119"/>
      <c r="B890" s="12"/>
      <c r="C890" s="13"/>
      <c r="D890" s="52" t="s">
        <v>767</v>
      </c>
      <c r="E890" s="68"/>
      <c r="F890" s="578">
        <v>1771.9</v>
      </c>
      <c r="G890" s="578"/>
      <c r="H890" s="578"/>
      <c r="I890" s="578"/>
      <c r="J890" s="53">
        <f t="shared" ref="J890:J892" si="39">F890</f>
        <v>1771.9</v>
      </c>
    </row>
    <row r="891" spans="1:10" x14ac:dyDescent="0.3">
      <c r="A891" s="119"/>
      <c r="B891" s="12"/>
      <c r="C891" s="13"/>
      <c r="D891" s="52" t="s">
        <v>764</v>
      </c>
      <c r="E891" s="68"/>
      <c r="F891" s="578">
        <v>80.34</v>
      </c>
      <c r="G891" s="578"/>
      <c r="H891" s="578"/>
      <c r="I891" s="578"/>
      <c r="J891" s="53">
        <f t="shared" si="39"/>
        <v>80.34</v>
      </c>
    </row>
    <row r="892" spans="1:10" x14ac:dyDescent="0.3">
      <c r="A892" s="119"/>
      <c r="B892" s="12"/>
      <c r="C892" s="13"/>
      <c r="D892" s="52" t="s">
        <v>765</v>
      </c>
      <c r="E892" s="68"/>
      <c r="F892" s="598">
        <v>113.38</v>
      </c>
      <c r="G892" s="598"/>
      <c r="H892" s="598"/>
      <c r="I892" s="598"/>
      <c r="J892" s="53">
        <f t="shared" si="39"/>
        <v>113.38</v>
      </c>
    </row>
    <row r="893" spans="1:10" ht="15" thickBot="1" x14ac:dyDescent="0.35">
      <c r="A893" s="575" t="s">
        <v>58</v>
      </c>
      <c r="B893" s="576"/>
      <c r="C893" s="576"/>
      <c r="D893" s="576"/>
      <c r="E893" s="576"/>
      <c r="F893" s="576"/>
      <c r="G893" s="576"/>
      <c r="H893" s="576"/>
      <c r="I893" s="576"/>
      <c r="J893" s="221">
        <f>SUM(J889:J892)</f>
        <v>4524.62</v>
      </c>
    </row>
    <row r="894" spans="1:10" x14ac:dyDescent="0.3">
      <c r="A894" s="215" t="str">
        <f>ORÇAMENTO!A383</f>
        <v>22.4</v>
      </c>
      <c r="B894" s="218" t="str">
        <f>ORÇAMENTO!B383</f>
        <v>GOINFRA</v>
      </c>
      <c r="C894" s="216">
        <f>ORÇAMENTO!C383</f>
        <v>270702</v>
      </c>
      <c r="D894" s="228" t="str">
        <f>ORÇAMENTO!D383</f>
        <v xml:space="preserve">ALAMBRADO COM POSTE DE CONCRETO E CINTA ARMADA PD. GOINFRA </v>
      </c>
      <c r="E894" s="216" t="str">
        <f>ORÇAMENTO!F383</f>
        <v xml:space="preserve">m </v>
      </c>
      <c r="F894" s="570" t="s">
        <v>465</v>
      </c>
      <c r="G894" s="594"/>
      <c r="H894" s="594"/>
      <c r="I894" s="571"/>
      <c r="J894" s="220" t="s">
        <v>65</v>
      </c>
    </row>
    <row r="895" spans="1:10" x14ac:dyDescent="0.3">
      <c r="A895" s="119"/>
      <c r="B895" s="12"/>
      <c r="C895" s="13"/>
      <c r="D895" s="152" t="s">
        <v>1041</v>
      </c>
      <c r="E895" s="13"/>
      <c r="F895" s="579">
        <v>584.92999999999995</v>
      </c>
      <c r="G895" s="580"/>
      <c r="H895" s="580"/>
      <c r="I895" s="581"/>
      <c r="J895" s="62">
        <f>F895</f>
        <v>584.92999999999995</v>
      </c>
    </row>
    <row r="896" spans="1:10" ht="15" thickBot="1" x14ac:dyDescent="0.35">
      <c r="A896" s="572" t="s">
        <v>58</v>
      </c>
      <c r="B896" s="573"/>
      <c r="C896" s="573"/>
      <c r="D896" s="573"/>
      <c r="E896" s="573"/>
      <c r="F896" s="573"/>
      <c r="G896" s="573"/>
      <c r="H896" s="573"/>
      <c r="I896" s="574"/>
      <c r="J896" s="166">
        <f>SUM(J894:J895)</f>
        <v>584.92999999999995</v>
      </c>
    </row>
    <row r="897" spans="1:10" x14ac:dyDescent="0.3">
      <c r="A897" s="215" t="str">
        <f>ORÇAMENTO!A384</f>
        <v>22.5</v>
      </c>
      <c r="B897" s="302" t="str">
        <f>ORÇAMENTO!B384</f>
        <v>GOINFRA</v>
      </c>
      <c r="C897" s="302">
        <f>ORÇAMENTO!C384</f>
        <v>270806</v>
      </c>
      <c r="D897" s="302" t="str">
        <f>ORÇAMENTO!D384</f>
        <v>PLACA DE INAUGURAÇÃO EM DURALUMÍNIO 80 X 60 CM</v>
      </c>
      <c r="E897" s="216" t="str">
        <f>ORÇAMENTO!F384</f>
        <v>und.</v>
      </c>
      <c r="F897" s="562" t="s">
        <v>67</v>
      </c>
      <c r="G897" s="562"/>
      <c r="H897" s="562"/>
      <c r="I897" s="562"/>
      <c r="J897" s="229" t="s">
        <v>65</v>
      </c>
    </row>
    <row r="898" spans="1:10" x14ac:dyDescent="0.3">
      <c r="A898" s="119"/>
      <c r="B898" s="12"/>
      <c r="C898" s="13"/>
      <c r="D898" s="52" t="s">
        <v>1042</v>
      </c>
      <c r="E898" s="13"/>
      <c r="F898" s="598">
        <v>1</v>
      </c>
      <c r="G898" s="598"/>
      <c r="H898" s="598"/>
      <c r="I898" s="598"/>
      <c r="J898" s="53">
        <f>F898</f>
        <v>1</v>
      </c>
    </row>
    <row r="899" spans="1:10" ht="15" thickBot="1" x14ac:dyDescent="0.35">
      <c r="A899" s="633" t="s">
        <v>58</v>
      </c>
      <c r="B899" s="634"/>
      <c r="C899" s="634"/>
      <c r="D899" s="634"/>
      <c r="E899" s="634"/>
      <c r="F899" s="634"/>
      <c r="G899" s="634"/>
      <c r="H899" s="634"/>
      <c r="I899" s="634"/>
      <c r="J899" s="166">
        <f>SUM(J897:J898)</f>
        <v>1</v>
      </c>
    </row>
    <row r="900" spans="1:10" x14ac:dyDescent="0.3">
      <c r="A900" s="215" t="str">
        <f>ORÇAMENTO!A385</f>
        <v>22.6</v>
      </c>
      <c r="B900" s="216" t="str">
        <f>ORÇAMENTO!B385</f>
        <v>GOINFRA</v>
      </c>
      <c r="C900" s="216">
        <f>ORÇAMENTO!C385</f>
        <v>271304</v>
      </c>
      <c r="D900" s="302" t="str">
        <f>ORÇAMENTO!D385</f>
        <v>BANCADA DE ARDOSIA POLIDA</v>
      </c>
      <c r="E900" s="216" t="str">
        <f>ORÇAMENTO!F385</f>
        <v xml:space="preserve">m2 </v>
      </c>
      <c r="F900" s="562" t="s">
        <v>79</v>
      </c>
      <c r="G900" s="562"/>
      <c r="H900" s="562"/>
      <c r="I900" s="562"/>
      <c r="J900" s="229" t="s">
        <v>65</v>
      </c>
    </row>
    <row r="901" spans="1:10" x14ac:dyDescent="0.3">
      <c r="A901" s="119"/>
      <c r="B901" s="13"/>
      <c r="C901" s="13"/>
      <c r="D901" s="297" t="s">
        <v>1043</v>
      </c>
      <c r="E901" s="13"/>
      <c r="F901" s="578" t="s">
        <v>1045</v>
      </c>
      <c r="G901" s="578"/>
      <c r="H901" s="578"/>
      <c r="I901" s="578"/>
      <c r="J901" s="53">
        <f>0.6*1.5</f>
        <v>0.89999999999999991</v>
      </c>
    </row>
    <row r="902" spans="1:10" x14ac:dyDescent="0.3">
      <c r="A902" s="119"/>
      <c r="B902" s="13"/>
      <c r="C902" s="13"/>
      <c r="D902" s="297" t="s">
        <v>1044</v>
      </c>
      <c r="E902" s="13"/>
      <c r="F902" s="578" t="s">
        <v>1050</v>
      </c>
      <c r="G902" s="578"/>
      <c r="H902" s="578"/>
      <c r="I902" s="578"/>
      <c r="J902" s="53">
        <f>0.7*2.6</f>
        <v>1.8199999999999998</v>
      </c>
    </row>
    <row r="903" spans="1:10" x14ac:dyDescent="0.3">
      <c r="A903" s="119"/>
      <c r="B903" s="13"/>
      <c r="C903" s="13"/>
      <c r="D903" s="297" t="s">
        <v>1044</v>
      </c>
      <c r="E903" s="13"/>
      <c r="F903" s="578" t="s">
        <v>1050</v>
      </c>
      <c r="G903" s="578"/>
      <c r="H903" s="578"/>
      <c r="I903" s="578"/>
      <c r="J903" s="53">
        <f>0.7*2.6</f>
        <v>1.8199999999999998</v>
      </c>
    </row>
    <row r="904" spans="1:10" x14ac:dyDescent="0.3">
      <c r="A904" s="119"/>
      <c r="B904" s="13"/>
      <c r="C904" s="13"/>
      <c r="D904" s="297" t="s">
        <v>1046</v>
      </c>
      <c r="E904" s="13"/>
      <c r="F904" s="578" t="s">
        <v>1047</v>
      </c>
      <c r="G904" s="578"/>
      <c r="H904" s="578"/>
      <c r="I904" s="578"/>
      <c r="J904" s="53">
        <f>2.1*0.4</f>
        <v>0.84000000000000008</v>
      </c>
    </row>
    <row r="905" spans="1:10" x14ac:dyDescent="0.3">
      <c r="A905" s="119"/>
      <c r="B905" s="13"/>
      <c r="C905" s="13"/>
      <c r="D905" s="297" t="s">
        <v>1048</v>
      </c>
      <c r="E905" s="13"/>
      <c r="F905" s="578" t="s">
        <v>1049</v>
      </c>
      <c r="G905" s="578"/>
      <c r="H905" s="578"/>
      <c r="I905" s="578"/>
      <c r="J905" s="53">
        <f>2.9*0.3</f>
        <v>0.87</v>
      </c>
    </row>
    <row r="906" spans="1:10" x14ac:dyDescent="0.3">
      <c r="A906" s="119"/>
      <c r="B906" s="12"/>
      <c r="C906" s="13"/>
      <c r="D906" s="297" t="s">
        <v>1048</v>
      </c>
      <c r="E906" s="13"/>
      <c r="F906" s="598" t="s">
        <v>1049</v>
      </c>
      <c r="G906" s="598"/>
      <c r="H906" s="598"/>
      <c r="I906" s="598"/>
      <c r="J906" s="53">
        <f>2.9*0.3</f>
        <v>0.87</v>
      </c>
    </row>
    <row r="907" spans="1:10" ht="15" thickBot="1" x14ac:dyDescent="0.35">
      <c r="A907" s="633" t="s">
        <v>58</v>
      </c>
      <c r="B907" s="634"/>
      <c r="C907" s="634"/>
      <c r="D907" s="634"/>
      <c r="E907" s="634"/>
      <c r="F907" s="634"/>
      <c r="G907" s="634"/>
      <c r="H907" s="634"/>
      <c r="I907" s="634"/>
      <c r="J907" s="166">
        <f>SUM(J901:J906)</f>
        <v>7.1199999999999992</v>
      </c>
    </row>
    <row r="908" spans="1:10" x14ac:dyDescent="0.3">
      <c r="A908" s="215" t="str">
        <f>ORÇAMENTO!A386</f>
        <v>22.7</v>
      </c>
      <c r="B908" s="216" t="str">
        <f>ORÇAMENTO!B386</f>
        <v>GOINFRA</v>
      </c>
      <c r="C908" s="216">
        <f>ORÇAMENTO!C386</f>
        <v>271605</v>
      </c>
      <c r="D908" s="302" t="str">
        <f>ORÇAMENTO!D386</f>
        <v xml:space="preserve">SUPORTE PARA BANCADA EM FERRO "T" 1/8" X 1 1/4" </v>
      </c>
      <c r="E908" s="216" t="str">
        <f>ORÇAMENTO!F386</f>
        <v>und.</v>
      </c>
      <c r="F908" s="562" t="s">
        <v>67</v>
      </c>
      <c r="G908" s="562"/>
      <c r="H908" s="562"/>
      <c r="I908" s="562"/>
      <c r="J908" s="229" t="s">
        <v>65</v>
      </c>
    </row>
    <row r="909" spans="1:10" x14ac:dyDescent="0.3">
      <c r="A909" s="119"/>
      <c r="B909" s="12"/>
      <c r="C909" s="13"/>
      <c r="D909" s="57" t="s">
        <v>1051</v>
      </c>
      <c r="E909" s="13"/>
      <c r="F909" s="598" t="s">
        <v>1052</v>
      </c>
      <c r="G909" s="598"/>
      <c r="H909" s="598"/>
      <c r="I909" s="598"/>
      <c r="J909" s="53">
        <f>(32*2)+2+2+2+2+3+3+2+2+2</f>
        <v>84</v>
      </c>
    </row>
    <row r="910" spans="1:10" ht="15" thickBot="1" x14ac:dyDescent="0.35">
      <c r="A910" s="633" t="s">
        <v>58</v>
      </c>
      <c r="B910" s="634"/>
      <c r="C910" s="634"/>
      <c r="D910" s="634"/>
      <c r="E910" s="634"/>
      <c r="F910" s="634"/>
      <c r="G910" s="634"/>
      <c r="H910" s="634"/>
      <c r="I910" s="634"/>
      <c r="J910" s="166">
        <f>SUM(J908:J909)</f>
        <v>84</v>
      </c>
    </row>
    <row r="911" spans="1:10" x14ac:dyDescent="0.3">
      <c r="A911" s="215" t="str">
        <f>ORÇAMENTO!A387</f>
        <v>22.8</v>
      </c>
      <c r="B911" s="216" t="str">
        <f>ORÇAMENTO!B387</f>
        <v>GOINFRA</v>
      </c>
      <c r="C911" s="216">
        <f>ORÇAMENTO!C387</f>
        <v>271608</v>
      </c>
      <c r="D911" s="336" t="str">
        <f>ORÇAMENTO!D387</f>
        <v>BANCADA DE GRANITO C/ESPELHO</v>
      </c>
      <c r="E911" s="216" t="str">
        <f>ORÇAMENTO!F387</f>
        <v xml:space="preserve">m2 </v>
      </c>
      <c r="F911" s="562" t="s">
        <v>66</v>
      </c>
      <c r="G911" s="562"/>
      <c r="H911" s="562"/>
      <c r="I911" s="562"/>
      <c r="J911" s="229" t="s">
        <v>65</v>
      </c>
    </row>
    <row r="912" spans="1:10" x14ac:dyDescent="0.3">
      <c r="A912" s="119"/>
      <c r="B912" s="13"/>
      <c r="C912" s="13"/>
      <c r="D912" s="335" t="s">
        <v>1053</v>
      </c>
      <c r="E912" s="13"/>
      <c r="F912" s="598" t="s">
        <v>1057</v>
      </c>
      <c r="G912" s="598"/>
      <c r="H912" s="598"/>
      <c r="I912" s="598"/>
      <c r="J912" s="53">
        <f>3.28*0.6</f>
        <v>1.9679999999999997</v>
      </c>
    </row>
    <row r="913" spans="1:10" x14ac:dyDescent="0.3">
      <c r="A913" s="119"/>
      <c r="B913" s="13"/>
      <c r="C913" s="13"/>
      <c r="D913" s="335" t="s">
        <v>1054</v>
      </c>
      <c r="E913" s="13"/>
      <c r="F913" s="598" t="s">
        <v>1056</v>
      </c>
      <c r="G913" s="598"/>
      <c r="H913" s="598"/>
      <c r="I913" s="598"/>
      <c r="J913" s="53">
        <f>2.2*0.6</f>
        <v>1.32</v>
      </c>
    </row>
    <row r="914" spans="1:10" x14ac:dyDescent="0.3">
      <c r="A914" s="119"/>
      <c r="B914" s="12"/>
      <c r="C914" s="13"/>
      <c r="D914" s="57" t="s">
        <v>1055</v>
      </c>
      <c r="E914" s="13"/>
      <c r="F914" s="598" t="s">
        <v>1058</v>
      </c>
      <c r="G914" s="598"/>
      <c r="H914" s="598"/>
      <c r="I914" s="598"/>
      <c r="J914" s="53">
        <f>1.5*0.6</f>
        <v>0.89999999999999991</v>
      </c>
    </row>
    <row r="915" spans="1:10" ht="15" thickBot="1" x14ac:dyDescent="0.35">
      <c r="A915" s="633" t="s">
        <v>58</v>
      </c>
      <c r="B915" s="634"/>
      <c r="C915" s="634"/>
      <c r="D915" s="634"/>
      <c r="E915" s="634"/>
      <c r="F915" s="634"/>
      <c r="G915" s="634"/>
      <c r="H915" s="634"/>
      <c r="I915" s="634"/>
      <c r="J915" s="166">
        <f>SUM(J912:J914)</f>
        <v>4.1879999999999997</v>
      </c>
    </row>
    <row r="916" spans="1:10" ht="43.2" x14ac:dyDescent="0.3">
      <c r="A916" s="215" t="str">
        <f>ORÇAMENTO!A388</f>
        <v>22.9</v>
      </c>
      <c r="B916" s="215" t="str">
        <f>ORÇAMENTO!B388</f>
        <v>GOINFRA</v>
      </c>
      <c r="C916" s="215">
        <f>ORÇAMENTO!C388</f>
        <v>271714</v>
      </c>
      <c r="D916" s="337" t="str">
        <f>ORÇAMENTO!D388</f>
        <v>MEIO FIO PD. GOINFRA EM CONC. PRÉ MOLD. RETO/CURVO (5X25X100CM), FC28=20MPA COM ARGAM.(1CI:3ARMLC) P/ARREMATE DO REJUNT. E PINTURA A CAL 2 DEMÃOS -INCLUSO ESCAV./APILOAM./REATERRO E CONC.FC28= 10MPA P/ ASSENTAM. ECHUMBAMENTO</v>
      </c>
      <c r="E916" s="216" t="str">
        <f>ORÇAMENTO!F388</f>
        <v>m</v>
      </c>
      <c r="F916" s="570" t="s">
        <v>67</v>
      </c>
      <c r="G916" s="594"/>
      <c r="H916" s="594"/>
      <c r="I916" s="571"/>
      <c r="J916" s="220" t="s">
        <v>65</v>
      </c>
    </row>
    <row r="917" spans="1:10" x14ac:dyDescent="0.3">
      <c r="A917" s="119"/>
      <c r="B917" s="63"/>
      <c r="C917" s="63"/>
      <c r="D917" s="231" t="str">
        <f>D776</f>
        <v>Meio Fio na entrada da rampa dos Boxs Atacadista</v>
      </c>
      <c r="E917" s="13"/>
      <c r="F917" s="579" t="s">
        <v>1061</v>
      </c>
      <c r="G917" s="580"/>
      <c r="H917" s="580"/>
      <c r="I917" s="581"/>
      <c r="J917" s="62">
        <f>3.11+4+2.5+3.11+4+2.5</f>
        <v>19.22</v>
      </c>
    </row>
    <row r="918" spans="1:10" x14ac:dyDescent="0.3">
      <c r="A918" s="119"/>
      <c r="B918" s="63"/>
      <c r="C918" s="63"/>
      <c r="D918" s="231" t="str">
        <f>D775</f>
        <v>Meio Fio Contornando a Guarita</v>
      </c>
      <c r="E918" s="13"/>
      <c r="F918" s="579" t="s">
        <v>929</v>
      </c>
      <c r="G918" s="580"/>
      <c r="H918" s="580"/>
      <c r="I918" s="581"/>
      <c r="J918" s="62">
        <f>7.32+7.32+6.33+6.33</f>
        <v>27.299999999999997</v>
      </c>
    </row>
    <row r="919" spans="1:10" x14ac:dyDescent="0.3">
      <c r="A919" s="119"/>
      <c r="B919" s="63"/>
      <c r="C919" s="63"/>
      <c r="D919" s="231" t="str">
        <f>D774</f>
        <v>Meio Fio Contornando a Feira de Varejo</v>
      </c>
      <c r="E919" s="13"/>
      <c r="F919" s="579" t="s">
        <v>1060</v>
      </c>
      <c r="G919" s="580"/>
      <c r="H919" s="580"/>
      <c r="I919" s="581"/>
      <c r="J919" s="62">
        <f>(26+16.02+5.5+47.5+5.5+13.14+26.02+14.16+7+48+7+14.16)</f>
        <v>230</v>
      </c>
    </row>
    <row r="920" spans="1:10" x14ac:dyDescent="0.3">
      <c r="A920" s="119"/>
      <c r="B920" s="12"/>
      <c r="C920" s="13"/>
      <c r="D920" s="57" t="str">
        <f>D773</f>
        <v>Meio Fio Contornando o Terreno</v>
      </c>
      <c r="E920" s="13"/>
      <c r="F920" s="565" t="s">
        <v>1059</v>
      </c>
      <c r="G920" s="566"/>
      <c r="H920" s="566"/>
      <c r="I920" s="567"/>
      <c r="J920" s="53">
        <f>99.94+82.08+38.96+19.04+41.79+4.08+14.17+3.88+5.28+68.39+80.91+1.93+26.87+2.43+58.37</f>
        <v>548.12</v>
      </c>
    </row>
    <row r="921" spans="1:10" ht="15" thickBot="1" x14ac:dyDescent="0.35">
      <c r="A921" s="572" t="s">
        <v>58</v>
      </c>
      <c r="B921" s="573"/>
      <c r="C921" s="573"/>
      <c r="D921" s="573"/>
      <c r="E921" s="573"/>
      <c r="F921" s="573"/>
      <c r="G921" s="573"/>
      <c r="H921" s="573"/>
      <c r="I921" s="574"/>
      <c r="J921" s="166">
        <f>SUM(J917:J920)</f>
        <v>824.64</v>
      </c>
    </row>
    <row r="922" spans="1:10" x14ac:dyDescent="0.3">
      <c r="A922" s="215" t="str">
        <f>ORÇAMENTO!A389</f>
        <v>22.10</v>
      </c>
      <c r="B922" s="216" t="str">
        <f>ORÇAMENTO!B389</f>
        <v>GOINFRA</v>
      </c>
      <c r="C922" s="216">
        <f>ORÇAMENTO!C389</f>
        <v>271852</v>
      </c>
      <c r="D922" s="227" t="str">
        <f>ORÇAMENTO!D389</f>
        <v xml:space="preserve"> LETRA CAIXA INOX ESCOVADO COLOCADA </v>
      </c>
      <c r="E922" s="216" t="str">
        <f>ORÇAMENTO!F389</f>
        <v xml:space="preserve">m </v>
      </c>
      <c r="F922" s="562" t="s">
        <v>67</v>
      </c>
      <c r="G922" s="562"/>
      <c r="H922" s="562"/>
      <c r="I922" s="562"/>
      <c r="J922" s="229" t="s">
        <v>65</v>
      </c>
    </row>
    <row r="923" spans="1:10" x14ac:dyDescent="0.3">
      <c r="A923" s="119"/>
      <c r="B923" s="12"/>
      <c r="C923" s="13"/>
      <c r="D923" s="57" t="s">
        <v>1062</v>
      </c>
      <c r="E923" s="13"/>
      <c r="F923" s="598" t="s">
        <v>1063</v>
      </c>
      <c r="G923" s="598"/>
      <c r="H923" s="598"/>
      <c r="I923" s="598"/>
      <c r="J923" s="53">
        <f>6+6+3</f>
        <v>15</v>
      </c>
    </row>
    <row r="924" spans="1:10" ht="15" thickBot="1" x14ac:dyDescent="0.35">
      <c r="A924" s="575" t="s">
        <v>58</v>
      </c>
      <c r="B924" s="576"/>
      <c r="C924" s="576"/>
      <c r="D924" s="576"/>
      <c r="E924" s="576"/>
      <c r="F924" s="576"/>
      <c r="G924" s="576"/>
      <c r="H924" s="576"/>
      <c r="I924" s="576"/>
      <c r="J924" s="221">
        <f>SUM(J922:J923)</f>
        <v>15</v>
      </c>
    </row>
    <row r="925" spans="1:10" ht="15" thickBot="1" x14ac:dyDescent="0.35">
      <c r="A925" s="582" t="str">
        <f>ORÇAMENTO!A391</f>
        <v>GRUPO DE SERVIÇO: 100002 - PAVIMENTAÇÃO</v>
      </c>
      <c r="B925" s="583"/>
      <c r="C925" s="583"/>
      <c r="D925" s="583"/>
      <c r="E925" s="583"/>
      <c r="F925" s="583"/>
      <c r="G925" s="583"/>
      <c r="H925" s="583"/>
      <c r="I925" s="583"/>
      <c r="J925" s="584"/>
    </row>
    <row r="926" spans="1:10" x14ac:dyDescent="0.3">
      <c r="A926" s="215">
        <f>ORÇAMENTO!A392</f>
        <v>23</v>
      </c>
      <c r="B926" s="218" t="str">
        <f>ORÇAMENTO!B392</f>
        <v>GOINFRA - T177</v>
      </c>
      <c r="C926" s="216">
        <f>ORÇAMENTO!C392</f>
        <v>100002</v>
      </c>
      <c r="D926" s="648" t="str">
        <f>ORÇAMENTO!D392</f>
        <v>PAVIMENTAÇÃO</v>
      </c>
      <c r="E926" s="649"/>
      <c r="F926" s="649"/>
      <c r="G926" s="649"/>
      <c r="H926" s="649"/>
      <c r="I926" s="649"/>
      <c r="J926" s="338"/>
    </row>
    <row r="927" spans="1:10" ht="28.8" x14ac:dyDescent="0.3">
      <c r="A927" s="119" t="str">
        <f>ORÇAMENTO!A393</f>
        <v>23.1</v>
      </c>
      <c r="B927" s="12" t="str">
        <f>ORÇAMENTO!B393</f>
        <v>GOINFRA - T177</v>
      </c>
      <c r="C927" s="12">
        <f>ORÇAMENTO!C393</f>
        <v>40046</v>
      </c>
      <c r="D927" s="57" t="str">
        <f>ORÇAMENTO!D393</f>
        <v>ESCAV., CARGA E TRANSP. 1ª CATEG. C/ CARREGADEIRA P/ PEQUENOS MOVIMENTOS DE TERRA - (DT: 201 A400M)</v>
      </c>
      <c r="E927" s="13" t="str">
        <f>ORÇAMENTO!F393</f>
        <v>m3</v>
      </c>
      <c r="F927" s="579" t="s">
        <v>1198</v>
      </c>
      <c r="G927" s="580"/>
      <c r="H927" s="580"/>
      <c r="I927" s="581"/>
      <c r="J927" s="53" t="s">
        <v>65</v>
      </c>
    </row>
    <row r="928" spans="1:10" x14ac:dyDescent="0.3">
      <c r="A928" s="119"/>
      <c r="B928" s="12"/>
      <c r="C928" s="13"/>
      <c r="D928" s="52" t="s">
        <v>1182</v>
      </c>
      <c r="E928" s="13"/>
      <c r="F928" s="579">
        <v>16480.25</v>
      </c>
      <c r="G928" s="580"/>
      <c r="H928" s="580"/>
      <c r="I928" s="581"/>
      <c r="J928" s="53">
        <f>F928</f>
        <v>16480.25</v>
      </c>
    </row>
    <row r="929" spans="1:10" ht="15" thickBot="1" x14ac:dyDescent="0.35">
      <c r="A929" s="559" t="s">
        <v>58</v>
      </c>
      <c r="B929" s="560"/>
      <c r="C929" s="560"/>
      <c r="D929" s="560"/>
      <c r="E929" s="560"/>
      <c r="F929" s="560"/>
      <c r="G929" s="560"/>
      <c r="H929" s="560"/>
      <c r="I929" s="561"/>
      <c r="J929" s="221">
        <f>SUM(J928:J928)</f>
        <v>16480.25</v>
      </c>
    </row>
    <row r="930" spans="1:10" x14ac:dyDescent="0.3">
      <c r="A930" s="215" t="str">
        <f>ORÇAMENTO!A394</f>
        <v>23.2</v>
      </c>
      <c r="B930" s="218" t="str">
        <f>ORÇAMENTO!B394</f>
        <v>GOINFRA - T177</v>
      </c>
      <c r="C930" s="218">
        <f>ORÇAMENTO!C394</f>
        <v>40101</v>
      </c>
      <c r="D930" s="228" t="str">
        <f>ORÇAMENTO!D394</f>
        <v>COMPACTAÇÃO A 100% DO PROCTOR NORMAL</v>
      </c>
      <c r="E930" s="216" t="str">
        <f>ORÇAMENTO!F394</f>
        <v>m3</v>
      </c>
      <c r="F930" s="570" t="s">
        <v>1198</v>
      </c>
      <c r="G930" s="594"/>
      <c r="H930" s="594"/>
      <c r="I930" s="571"/>
      <c r="J930" s="229" t="s">
        <v>65</v>
      </c>
    </row>
    <row r="931" spans="1:10" x14ac:dyDescent="0.3">
      <c r="A931" s="119"/>
      <c r="B931" s="12"/>
      <c r="C931" s="13"/>
      <c r="D931" s="52" t="s">
        <v>1183</v>
      </c>
      <c r="E931" s="13"/>
      <c r="F931" s="579">
        <v>16423.580000000002</v>
      </c>
      <c r="G931" s="580"/>
      <c r="H931" s="580"/>
      <c r="I931" s="581"/>
      <c r="J931" s="53">
        <f>F931</f>
        <v>16423.580000000002</v>
      </c>
    </row>
    <row r="932" spans="1:10" ht="15" thickBot="1" x14ac:dyDescent="0.35">
      <c r="A932" s="559" t="s">
        <v>58</v>
      </c>
      <c r="B932" s="560"/>
      <c r="C932" s="560"/>
      <c r="D932" s="560"/>
      <c r="E932" s="560"/>
      <c r="F932" s="560"/>
      <c r="G932" s="560"/>
      <c r="H932" s="560"/>
      <c r="I932" s="561"/>
      <c r="J932" s="221">
        <f>SUM(J931:J931)</f>
        <v>16423.580000000002</v>
      </c>
    </row>
    <row r="933" spans="1:10" x14ac:dyDescent="0.3">
      <c r="A933" s="215" t="str">
        <f>ORÇAMENTO!A395</f>
        <v>23.3</v>
      </c>
      <c r="B933" s="218" t="str">
        <f>ORÇAMENTO!B395</f>
        <v>GOINFRA - T177</v>
      </c>
      <c r="C933" s="216">
        <f>ORÇAMENTO!C395</f>
        <v>40310</v>
      </c>
      <c r="D933" s="219" t="str">
        <f>ORÇAMENTO!D395</f>
        <v>REGULARIZAÇÃO E COMPACTAÇÃO DO SUB-LEITO (PAV.URB.)</v>
      </c>
      <c r="E933" s="216" t="str">
        <f>ORÇAMENTO!F395</f>
        <v xml:space="preserve">m2 </v>
      </c>
      <c r="F933" s="570" t="s">
        <v>1195</v>
      </c>
      <c r="G933" s="594"/>
      <c r="H933" s="594"/>
      <c r="I933" s="571"/>
      <c r="J933" s="229" t="s">
        <v>65</v>
      </c>
    </row>
    <row r="934" spans="1:10" x14ac:dyDescent="0.3">
      <c r="A934" s="119"/>
      <c r="B934" s="12"/>
      <c r="C934" s="13"/>
      <c r="D934" s="52" t="s">
        <v>1184</v>
      </c>
      <c r="E934" s="13"/>
      <c r="F934" s="579">
        <v>17056.310000000001</v>
      </c>
      <c r="G934" s="580"/>
      <c r="H934" s="580"/>
      <c r="I934" s="581"/>
      <c r="J934" s="53">
        <f>F934</f>
        <v>17056.310000000001</v>
      </c>
    </row>
    <row r="935" spans="1:10" x14ac:dyDescent="0.3">
      <c r="A935" s="119"/>
      <c r="B935" s="12"/>
      <c r="C935" s="13"/>
      <c r="D935" s="52" t="s">
        <v>1185</v>
      </c>
      <c r="E935" s="13"/>
      <c r="F935" s="579">
        <v>985</v>
      </c>
      <c r="G935" s="580"/>
      <c r="H935" s="580"/>
      <c r="I935" s="581"/>
      <c r="J935" s="53">
        <f>F935</f>
        <v>985</v>
      </c>
    </row>
    <row r="936" spans="1:10" ht="15" thickBot="1" x14ac:dyDescent="0.35">
      <c r="A936" s="559" t="s">
        <v>58</v>
      </c>
      <c r="B936" s="560"/>
      <c r="C936" s="560"/>
      <c r="D936" s="560"/>
      <c r="E936" s="560"/>
      <c r="F936" s="560"/>
      <c r="G936" s="560"/>
      <c r="H936" s="560"/>
      <c r="I936" s="561"/>
      <c r="J936" s="221">
        <f>SUM(J934:J935)</f>
        <v>18041.310000000001</v>
      </c>
    </row>
    <row r="937" spans="1:10" x14ac:dyDescent="0.3">
      <c r="A937" s="215" t="str">
        <f>ORÇAMENTO!A396</f>
        <v>23.4</v>
      </c>
      <c r="B937" s="218" t="str">
        <f>ORÇAMENTO!B396</f>
        <v>GOINFRA - T177</v>
      </c>
      <c r="C937" s="216">
        <f>ORÇAMENTO!C396</f>
        <v>40316</v>
      </c>
      <c r="D937" s="219" t="str">
        <f>ORÇAMENTO!D396</f>
        <v xml:space="preserve">ESC. E CARGA DE MAT. DE JAZ-. C/ INDENIZ. (PAV.URB.) </v>
      </c>
      <c r="E937" s="216" t="str">
        <f>ORÇAMENTO!F396</f>
        <v xml:space="preserve">m3 </v>
      </c>
      <c r="F937" s="568" t="s">
        <v>1195</v>
      </c>
      <c r="G937" s="569"/>
      <c r="H937" s="285" t="s">
        <v>1194</v>
      </c>
      <c r="I937" s="259"/>
      <c r="J937" s="229" t="s">
        <v>65</v>
      </c>
    </row>
    <row r="938" spans="1:10" x14ac:dyDescent="0.3">
      <c r="A938" s="119"/>
      <c r="B938" s="12"/>
      <c r="C938" s="13"/>
      <c r="D938" s="52" t="s">
        <v>1186</v>
      </c>
      <c r="E938" s="13"/>
      <c r="F938" s="565">
        <v>11879.75</v>
      </c>
      <c r="G938" s="567"/>
      <c r="H938" s="290">
        <v>0.15</v>
      </c>
      <c r="I938" s="260"/>
      <c r="J938" s="53">
        <f>H938*F938</f>
        <v>1781.9624999999999</v>
      </c>
    </row>
    <row r="939" spans="1:10" x14ac:dyDescent="0.3">
      <c r="A939" s="119"/>
      <c r="B939" s="12"/>
      <c r="C939" s="13"/>
      <c r="D939" s="52" t="s">
        <v>1185</v>
      </c>
      <c r="E939" s="13"/>
      <c r="F939" s="565">
        <v>985</v>
      </c>
      <c r="G939" s="567"/>
      <c r="H939" s="290">
        <v>0.15</v>
      </c>
      <c r="I939" s="260"/>
      <c r="J939" s="53">
        <f>H939*F939</f>
        <v>147.75</v>
      </c>
    </row>
    <row r="940" spans="1:10" ht="15" thickBot="1" x14ac:dyDescent="0.35">
      <c r="A940" s="559" t="s">
        <v>58</v>
      </c>
      <c r="B940" s="560"/>
      <c r="C940" s="560"/>
      <c r="D940" s="560"/>
      <c r="E940" s="560"/>
      <c r="F940" s="560"/>
      <c r="G940" s="560"/>
      <c r="H940" s="560"/>
      <c r="I940" s="561"/>
      <c r="J940" s="221">
        <f>SUM(J938:J939)</f>
        <v>1929.7124999999999</v>
      </c>
    </row>
    <row r="941" spans="1:10" x14ac:dyDescent="0.3">
      <c r="A941" s="215" t="str">
        <f>ORÇAMENTO!A397</f>
        <v>23.5</v>
      </c>
      <c r="B941" s="218" t="str">
        <f>ORÇAMENTO!B397</f>
        <v>GOINFRA - T177</v>
      </c>
      <c r="C941" s="216">
        <f>ORÇAMENTO!C397</f>
        <v>40320</v>
      </c>
      <c r="D941" s="219" t="str">
        <f>ORÇAMENTO!D397</f>
        <v>TRANSPORTE DE MAT. DE JAZIDA-CASCALHO (PAV.URB.)</v>
      </c>
      <c r="E941" s="216" t="str">
        <f>ORÇAMENTO!F397</f>
        <v xml:space="preserve"> m3km </v>
      </c>
      <c r="F941" s="284" t="s">
        <v>1195</v>
      </c>
      <c r="G941" s="264" t="s">
        <v>1193</v>
      </c>
      <c r="H941" s="285" t="s">
        <v>1194</v>
      </c>
      <c r="I941" s="286" t="s">
        <v>1197</v>
      </c>
      <c r="J941" s="229" t="s">
        <v>65</v>
      </c>
    </row>
    <row r="942" spans="1:10" x14ac:dyDescent="0.3">
      <c r="A942" s="119"/>
      <c r="B942" s="12"/>
      <c r="C942" s="13"/>
      <c r="D942" s="52" t="s">
        <v>1186</v>
      </c>
      <c r="E942" s="13"/>
      <c r="F942" s="287">
        <f>F938</f>
        <v>11879.75</v>
      </c>
      <c r="G942" s="153">
        <v>7.7</v>
      </c>
      <c r="H942" s="290">
        <v>0.15</v>
      </c>
      <c r="I942" s="262">
        <v>0.2</v>
      </c>
      <c r="J942" s="240">
        <f>F942*G942*H942*(1+I942)</f>
        <v>16465.333500000001</v>
      </c>
    </row>
    <row r="943" spans="1:10" x14ac:dyDescent="0.3">
      <c r="A943" s="119"/>
      <c r="B943" s="12"/>
      <c r="C943" s="13"/>
      <c r="D943" s="52" t="s">
        <v>1185</v>
      </c>
      <c r="E943" s="13"/>
      <c r="F943" s="287">
        <f>F939</f>
        <v>985</v>
      </c>
      <c r="G943" s="153">
        <v>7.7</v>
      </c>
      <c r="H943" s="290">
        <v>0.15</v>
      </c>
      <c r="I943" s="262">
        <v>0.2</v>
      </c>
      <c r="J943" s="240">
        <f>F943*G943*H943*(1+I943)</f>
        <v>1365.2099999999998</v>
      </c>
    </row>
    <row r="944" spans="1:10" ht="15" thickBot="1" x14ac:dyDescent="0.35">
      <c r="A944" s="559" t="s">
        <v>58</v>
      </c>
      <c r="B944" s="560"/>
      <c r="C944" s="560"/>
      <c r="D944" s="560"/>
      <c r="E944" s="560"/>
      <c r="F944" s="560"/>
      <c r="G944" s="560"/>
      <c r="H944" s="560"/>
      <c r="I944" s="561"/>
      <c r="J944" s="221">
        <f>SUM(J942:J943)</f>
        <v>17830.5435</v>
      </c>
    </row>
    <row r="945" spans="1:10" ht="43.2" x14ac:dyDescent="0.3">
      <c r="A945" s="215" t="str">
        <f>ORÇAMENTO!A398</f>
        <v>23.6</v>
      </c>
      <c r="B945" s="218" t="str">
        <f>ORÇAMENTO!B398</f>
        <v>SINAPI</v>
      </c>
      <c r="C945" s="216">
        <f>ORÇAMENTO!C398</f>
        <v>101767</v>
      </c>
      <c r="D945" s="219" t="str">
        <f>ORÇAMENTO!D398</f>
        <v>EXECUÇÃO E COMPACTAÇÃO DE BASE E OU SUB BASE PARA PAVIMENTAÇÃO DE SOLOS ESTABILIZADOS GRANULOMETRICAMENTE COM MISTURA DE SOLOS EM PISTA - EXCLUSIVE SOLO, ESCAVAÇÃO, CARGA E TRANSPORTE. AF_11/2019</v>
      </c>
      <c r="E945" s="216" t="str">
        <f>ORÇAMENTO!F398</f>
        <v xml:space="preserve">m3 </v>
      </c>
      <c r="F945" s="568" t="s">
        <v>1195</v>
      </c>
      <c r="G945" s="569"/>
      <c r="H945" s="258" t="s">
        <v>1194</v>
      </c>
      <c r="I945" s="259"/>
      <c r="J945" s="229" t="s">
        <v>65</v>
      </c>
    </row>
    <row r="946" spans="1:10" x14ac:dyDescent="0.3">
      <c r="A946" s="119"/>
      <c r="B946" s="12"/>
      <c r="C946" s="13"/>
      <c r="D946" s="52" t="s">
        <v>1186</v>
      </c>
      <c r="E946" s="13"/>
      <c r="F946" s="565">
        <f>F942</f>
        <v>11879.75</v>
      </c>
      <c r="G946" s="567"/>
      <c r="H946" s="290">
        <v>0.15</v>
      </c>
      <c r="I946" s="262"/>
      <c r="J946" s="240">
        <f>F946*H946*(1+I946)</f>
        <v>1781.9624999999999</v>
      </c>
    </row>
    <row r="947" spans="1:10" x14ac:dyDescent="0.3">
      <c r="A947" s="119"/>
      <c r="B947" s="12"/>
      <c r="C947" s="13"/>
      <c r="D947" s="52" t="s">
        <v>1185</v>
      </c>
      <c r="E947" s="13"/>
      <c r="F947" s="565">
        <f>F943</f>
        <v>985</v>
      </c>
      <c r="G947" s="567"/>
      <c r="H947" s="290">
        <v>0.15</v>
      </c>
      <c r="I947" s="262"/>
      <c r="J947" s="240">
        <f>F947*H947*(1+I947)</f>
        <v>147.75</v>
      </c>
    </row>
    <row r="948" spans="1:10" ht="15" thickBot="1" x14ac:dyDescent="0.35">
      <c r="A948" s="572" t="s">
        <v>58</v>
      </c>
      <c r="B948" s="573"/>
      <c r="C948" s="573"/>
      <c r="D948" s="573"/>
      <c r="E948" s="573"/>
      <c r="F948" s="573"/>
      <c r="G948" s="573"/>
      <c r="H948" s="573"/>
      <c r="I948" s="574"/>
      <c r="J948" s="166">
        <f>SUM(J946:J947)</f>
        <v>1929.7124999999999</v>
      </c>
    </row>
    <row r="949" spans="1:10" x14ac:dyDescent="0.3">
      <c r="A949" s="215" t="str">
        <f>ORÇAMENTO!A399</f>
        <v>23.7</v>
      </c>
      <c r="B949" s="218" t="str">
        <f>ORÇAMENTO!B399</f>
        <v>GOINFRA - T177</v>
      </c>
      <c r="C949" s="216">
        <f>ORÇAMENTO!C399</f>
        <v>44201</v>
      </c>
      <c r="D949" s="227" t="str">
        <f>ORÇAMENTO!D399</f>
        <v>PINTURA DE LIGAÇÃO (PAV.URB.)</v>
      </c>
      <c r="E949" s="216" t="str">
        <f>ORÇAMENTO!F399</f>
        <v>m2</v>
      </c>
      <c r="F949" s="577" t="s">
        <v>1195</v>
      </c>
      <c r="G949" s="577"/>
      <c r="H949" s="340"/>
      <c r="I949" s="340"/>
      <c r="J949" s="229" t="s">
        <v>65</v>
      </c>
    </row>
    <row r="950" spans="1:10" x14ac:dyDescent="0.3">
      <c r="A950" s="119"/>
      <c r="B950" s="12"/>
      <c r="C950" s="13"/>
      <c r="D950" s="52" t="s">
        <v>1186</v>
      </c>
      <c r="E950" s="13"/>
      <c r="F950" s="578">
        <f>F946</f>
        <v>11879.75</v>
      </c>
      <c r="G950" s="578"/>
      <c r="H950" s="339"/>
      <c r="I950" s="339"/>
      <c r="J950" s="53">
        <f>F950</f>
        <v>11879.75</v>
      </c>
    </row>
    <row r="951" spans="1:10" x14ac:dyDescent="0.3">
      <c r="A951" s="119"/>
      <c r="B951" s="12"/>
      <c r="C951" s="13"/>
      <c r="D951" s="52" t="s">
        <v>1185</v>
      </c>
      <c r="E951" s="13"/>
      <c r="F951" s="578">
        <f>F947</f>
        <v>985</v>
      </c>
      <c r="G951" s="578"/>
      <c r="H951" s="339"/>
      <c r="I951" s="339"/>
      <c r="J951" s="53">
        <f>F951</f>
        <v>985</v>
      </c>
    </row>
    <row r="952" spans="1:10" ht="15" thickBot="1" x14ac:dyDescent="0.35">
      <c r="A952" s="575" t="s">
        <v>58</v>
      </c>
      <c r="B952" s="576"/>
      <c r="C952" s="576"/>
      <c r="D952" s="576"/>
      <c r="E952" s="576"/>
      <c r="F952" s="576"/>
      <c r="G952" s="576"/>
      <c r="H952" s="576"/>
      <c r="I952" s="576"/>
      <c r="J952" s="221">
        <f>SUM(J950:J951)</f>
        <v>12864.75</v>
      </c>
    </row>
    <row r="953" spans="1:10" x14ac:dyDescent="0.3">
      <c r="A953" s="215" t="str">
        <f>ORÇAMENTO!A400</f>
        <v>23.8</v>
      </c>
      <c r="B953" s="218" t="str">
        <f>ORÇAMENTO!B400</f>
        <v>GOINFRA - T177</v>
      </c>
      <c r="C953" s="216">
        <f>ORÇAMENTO!C400</f>
        <v>44200</v>
      </c>
      <c r="D953" s="219" t="str">
        <f>ORÇAMENTO!D400</f>
        <v>IMPRIMAÇÃO (PAV.URB.)</v>
      </c>
      <c r="E953" s="216" t="str">
        <f>ORÇAMENTO!F400</f>
        <v>m2</v>
      </c>
      <c r="F953" s="568" t="s">
        <v>1195</v>
      </c>
      <c r="G953" s="569"/>
      <c r="H953" s="258"/>
      <c r="I953" s="259"/>
      <c r="J953" s="229" t="s">
        <v>65</v>
      </c>
    </row>
    <row r="954" spans="1:10" x14ac:dyDescent="0.3">
      <c r="A954" s="119"/>
      <c r="B954" s="12"/>
      <c r="C954" s="13"/>
      <c r="D954" s="52" t="s">
        <v>1186</v>
      </c>
      <c r="E954" s="13"/>
      <c r="F954" s="565">
        <f>F950</f>
        <v>11879.75</v>
      </c>
      <c r="G954" s="567"/>
      <c r="H954" s="261"/>
      <c r="I954" s="260"/>
      <c r="J954" s="53">
        <f>F954</f>
        <v>11879.75</v>
      </c>
    </row>
    <row r="955" spans="1:10" x14ac:dyDescent="0.3">
      <c r="A955" s="119"/>
      <c r="B955" s="12"/>
      <c r="C955" s="13"/>
      <c r="D955" s="52" t="s">
        <v>1185</v>
      </c>
      <c r="E955" s="13"/>
      <c r="F955" s="565">
        <f>F951</f>
        <v>985</v>
      </c>
      <c r="G955" s="567"/>
      <c r="H955" s="261"/>
      <c r="I955" s="260"/>
      <c r="J955" s="53">
        <f>F955</f>
        <v>985</v>
      </c>
    </row>
    <row r="956" spans="1:10" ht="15" thickBot="1" x14ac:dyDescent="0.35">
      <c r="A956" s="559" t="s">
        <v>58</v>
      </c>
      <c r="B956" s="560"/>
      <c r="C956" s="560"/>
      <c r="D956" s="560"/>
      <c r="E956" s="560"/>
      <c r="F956" s="560"/>
      <c r="G956" s="560"/>
      <c r="H956" s="560"/>
      <c r="I956" s="561"/>
      <c r="J956" s="221">
        <f>SUM(J954:J955)</f>
        <v>12864.75</v>
      </c>
    </row>
    <row r="957" spans="1:10" x14ac:dyDescent="0.3">
      <c r="A957" s="215" t="str">
        <f>ORÇAMENTO!A401</f>
        <v>23.9</v>
      </c>
      <c r="B957" s="218" t="str">
        <f>ORÇAMENTO!B401</f>
        <v>GOINFRA - T177</v>
      </c>
      <c r="C957" s="216">
        <f>ORÇAMENTO!C401</f>
        <v>40485</v>
      </c>
      <c r="D957" s="219" t="str">
        <f>ORÇAMENTO!D401</f>
        <v>FORNECIMENTO DE EMULSÃO ASFÁLTICA PARA IMPRIMAÇÃO - EAI</v>
      </c>
      <c r="E957" s="216" t="str">
        <f>ORÇAMENTO!F401</f>
        <v>t</v>
      </c>
      <c r="F957" s="568" t="s">
        <v>1195</v>
      </c>
      <c r="G957" s="569"/>
      <c r="H957" s="570" t="s">
        <v>1191</v>
      </c>
      <c r="I957" s="571"/>
      <c r="J957" s="229" t="s">
        <v>65</v>
      </c>
    </row>
    <row r="958" spans="1:10" x14ac:dyDescent="0.3">
      <c r="A958" s="119"/>
      <c r="B958" s="12"/>
      <c r="C958" s="13"/>
      <c r="D958" s="52" t="s">
        <v>1186</v>
      </c>
      <c r="E958" s="13"/>
      <c r="F958" s="565">
        <f>F954</f>
        <v>11879.75</v>
      </c>
      <c r="G958" s="567"/>
      <c r="H958" s="563">
        <f>1.3/1000</f>
        <v>1.2999999999999999E-3</v>
      </c>
      <c r="I958" s="564"/>
      <c r="J958" s="53">
        <f>F958*H958</f>
        <v>15.443674999999999</v>
      </c>
    </row>
    <row r="959" spans="1:10" x14ac:dyDescent="0.3">
      <c r="A959" s="119"/>
      <c r="B959" s="12"/>
      <c r="C959" s="13"/>
      <c r="D959" s="52" t="s">
        <v>1185</v>
      </c>
      <c r="E959" s="13"/>
      <c r="F959" s="565">
        <f>F955</f>
        <v>985</v>
      </c>
      <c r="G959" s="567"/>
      <c r="H959" s="563">
        <f>1.3/1000</f>
        <v>1.2999999999999999E-3</v>
      </c>
      <c r="I959" s="564"/>
      <c r="J959" s="53">
        <f>F959*H959</f>
        <v>1.2805</v>
      </c>
    </row>
    <row r="960" spans="1:10" ht="15" thickBot="1" x14ac:dyDescent="0.35">
      <c r="A960" s="559" t="s">
        <v>58</v>
      </c>
      <c r="B960" s="560"/>
      <c r="C960" s="560"/>
      <c r="D960" s="560"/>
      <c r="E960" s="560"/>
      <c r="F960" s="560"/>
      <c r="G960" s="560"/>
      <c r="H960" s="560"/>
      <c r="I960" s="561"/>
      <c r="J960" s="221">
        <f>SUM(J958:J959)</f>
        <v>16.724174999999999</v>
      </c>
    </row>
    <row r="961" spans="1:10" x14ac:dyDescent="0.3">
      <c r="A961" s="215" t="str">
        <f>ORÇAMENTO!A402</f>
        <v>23.10</v>
      </c>
      <c r="B961" s="216" t="str">
        <f>ORÇAMENTO!B402</f>
        <v>GOINFRA - T177</v>
      </c>
      <c r="C961" s="216">
        <f>ORÇAMENTO!C402</f>
        <v>40490</v>
      </c>
      <c r="D961" s="219" t="str">
        <f>ORÇAMENTO!D402</f>
        <v xml:space="preserve">FORNECIMENTO DE EMULSÃO RR-2C </v>
      </c>
      <c r="E961" s="216" t="str">
        <f>ORÇAMENTO!F402</f>
        <v>t</v>
      </c>
      <c r="F961" s="568" t="s">
        <v>1195</v>
      </c>
      <c r="G961" s="569"/>
      <c r="H961" s="570" t="s">
        <v>1191</v>
      </c>
      <c r="I961" s="571"/>
      <c r="J961" s="229" t="s">
        <v>65</v>
      </c>
    </row>
    <row r="962" spans="1:10" x14ac:dyDescent="0.3">
      <c r="A962" s="119"/>
      <c r="B962" s="12"/>
      <c r="C962" s="13"/>
      <c r="D962" s="52" t="s">
        <v>1186</v>
      </c>
      <c r="E962" s="13"/>
      <c r="F962" s="565">
        <f>F958</f>
        <v>11879.75</v>
      </c>
      <c r="G962" s="567"/>
      <c r="H962" s="563">
        <f>0.5/1000</f>
        <v>5.0000000000000001E-4</v>
      </c>
      <c r="I962" s="564"/>
      <c r="J962" s="53">
        <f>F962*H962</f>
        <v>5.9398749999999998</v>
      </c>
    </row>
    <row r="963" spans="1:10" x14ac:dyDescent="0.3">
      <c r="A963" s="119"/>
      <c r="B963" s="12"/>
      <c r="C963" s="13"/>
      <c r="D963" s="52" t="s">
        <v>1185</v>
      </c>
      <c r="E963" s="13"/>
      <c r="F963" s="565">
        <f>F959</f>
        <v>985</v>
      </c>
      <c r="G963" s="567"/>
      <c r="H963" s="563">
        <f>0.5/1000</f>
        <v>5.0000000000000001E-4</v>
      </c>
      <c r="I963" s="564"/>
      <c r="J963" s="53">
        <f>F963*H963</f>
        <v>0.49249999999999999</v>
      </c>
    </row>
    <row r="964" spans="1:10" ht="15" thickBot="1" x14ac:dyDescent="0.35">
      <c r="A964" s="572" t="s">
        <v>58</v>
      </c>
      <c r="B964" s="573"/>
      <c r="C964" s="573"/>
      <c r="D964" s="573"/>
      <c r="E964" s="573"/>
      <c r="F964" s="573"/>
      <c r="G964" s="573"/>
      <c r="H964" s="573"/>
      <c r="I964" s="574"/>
      <c r="J964" s="166">
        <f>SUM(J962:J963)</f>
        <v>6.4323749999999995</v>
      </c>
    </row>
    <row r="965" spans="1:10" ht="28.8" x14ac:dyDescent="0.3">
      <c r="A965" s="215" t="str">
        <f>ORÇAMENTO!A403</f>
        <v>23.11</v>
      </c>
      <c r="B965" s="216" t="str">
        <f>ORÇAMENTO!B403</f>
        <v>GOINFRA - T177</v>
      </c>
      <c r="C965" s="216">
        <f>ORÇAMENTO!C403</f>
        <v>40525</v>
      </c>
      <c r="D965" s="227" t="str">
        <f>ORÇAMENTO!D403</f>
        <v>FORNECIMENTO DE CAP-50/70</v>
      </c>
      <c r="E965" s="216" t="s">
        <v>573</v>
      </c>
      <c r="F965" s="264" t="s">
        <v>1222</v>
      </c>
      <c r="G965" s="264" t="s">
        <v>1223</v>
      </c>
      <c r="H965" s="562" t="s">
        <v>1191</v>
      </c>
      <c r="I965" s="562"/>
      <c r="J965" s="229" t="s">
        <v>65</v>
      </c>
    </row>
    <row r="966" spans="1:10" x14ac:dyDescent="0.3">
      <c r="A966" s="119"/>
      <c r="B966" s="12"/>
      <c r="C966" s="13"/>
      <c r="D966" s="52" t="s">
        <v>1186</v>
      </c>
      <c r="E966" s="13"/>
      <c r="F966" s="153">
        <f>J976</f>
        <v>356.39249999999998</v>
      </c>
      <c r="G966" s="153">
        <v>2.4</v>
      </c>
      <c r="H966" s="563">
        <v>5.1999999999999998E-2</v>
      </c>
      <c r="I966" s="564"/>
      <c r="J966" s="53">
        <f>F966*G966*H966</f>
        <v>44.477784</v>
      </c>
    </row>
    <row r="967" spans="1:10" x14ac:dyDescent="0.3">
      <c r="A967" s="119"/>
      <c r="B967" s="12"/>
      <c r="C967" s="13"/>
      <c r="D967" s="52" t="s">
        <v>1185</v>
      </c>
      <c r="E967" s="13"/>
      <c r="F967" s="153">
        <f>J977</f>
        <v>29.549999999999997</v>
      </c>
      <c r="G967" s="153">
        <v>2.4</v>
      </c>
      <c r="H967" s="563">
        <v>5.1999999999999998E-2</v>
      </c>
      <c r="I967" s="564"/>
      <c r="J967" s="53">
        <f>F967*G967*H967</f>
        <v>3.6878399999999991</v>
      </c>
    </row>
    <row r="968" spans="1:10" ht="15" thickBot="1" x14ac:dyDescent="0.35">
      <c r="A968" s="559" t="s">
        <v>58</v>
      </c>
      <c r="B968" s="560"/>
      <c r="C968" s="560"/>
      <c r="D968" s="560"/>
      <c r="E968" s="560"/>
      <c r="F968" s="560"/>
      <c r="G968" s="560"/>
      <c r="H968" s="560"/>
      <c r="I968" s="561"/>
      <c r="J968" s="221">
        <f>SUM(J966:J967)</f>
        <v>48.165624000000001</v>
      </c>
    </row>
    <row r="969" spans="1:10" ht="15" thickBot="1" x14ac:dyDescent="0.35">
      <c r="A969" s="362"/>
      <c r="B969" s="363"/>
      <c r="C969" s="363"/>
      <c r="D969" s="363"/>
      <c r="E969" s="363"/>
      <c r="F969" s="363"/>
      <c r="G969" s="363"/>
      <c r="H969" s="363"/>
      <c r="I969" s="364"/>
      <c r="J969" s="365"/>
    </row>
    <row r="970" spans="1:10" x14ac:dyDescent="0.3">
      <c r="A970" s="215" t="str">
        <f>ORÇAMENTO!A404</f>
        <v>23.12</v>
      </c>
      <c r="B970" s="218" t="str">
        <f>ORÇAMENTO!B404</f>
        <v>GOINFRA - T177</v>
      </c>
      <c r="C970" s="216">
        <f>ORÇAMENTO!C404</f>
        <v>40530</v>
      </c>
      <c r="D970" s="219" t="str">
        <f>ORÇAMENTO!D404</f>
        <v>TRANSPORTE COMERCIAL DE MATERIAL BETUMINOSO</v>
      </c>
      <c r="E970" s="216" t="str">
        <f>ORÇAMENTO!F404</f>
        <v>t</v>
      </c>
      <c r="F970" s="568" t="s">
        <v>1196</v>
      </c>
      <c r="G970" s="569"/>
      <c r="H970" s="570" t="s">
        <v>1193</v>
      </c>
      <c r="I970" s="571"/>
      <c r="J970" s="229" t="s">
        <v>65</v>
      </c>
    </row>
    <row r="971" spans="1:10" x14ac:dyDescent="0.3">
      <c r="A971" s="119"/>
      <c r="B971" s="12"/>
      <c r="C971" s="13"/>
      <c r="D971" s="52" t="str">
        <f>D957</f>
        <v>FORNECIMENTO DE EMULSÃO ASFÁLTICA PARA IMPRIMAÇÃO - EAI</v>
      </c>
      <c r="E971" s="13"/>
      <c r="F971" s="565">
        <f>J960</f>
        <v>16.724174999999999</v>
      </c>
      <c r="G971" s="567"/>
      <c r="H971" s="682">
        <v>260</v>
      </c>
      <c r="I971" s="683"/>
      <c r="J971" s="53">
        <f>F971</f>
        <v>16.724174999999999</v>
      </c>
    </row>
    <row r="972" spans="1:10" x14ac:dyDescent="0.3">
      <c r="A972" s="119"/>
      <c r="B972" s="12"/>
      <c r="C972" s="13"/>
      <c r="D972" s="52" t="str">
        <f>D961</f>
        <v xml:space="preserve">FORNECIMENTO DE EMULSÃO RR-2C </v>
      </c>
      <c r="E972" s="13"/>
      <c r="F972" s="565">
        <f>J964</f>
        <v>6.4323749999999995</v>
      </c>
      <c r="G972" s="567"/>
      <c r="H972" s="682">
        <v>260</v>
      </c>
      <c r="I972" s="683"/>
      <c r="J972" s="53">
        <f>F972</f>
        <v>6.4323749999999995</v>
      </c>
    </row>
    <row r="973" spans="1:10" x14ac:dyDescent="0.3">
      <c r="A973" s="212"/>
      <c r="B973" s="299"/>
      <c r="C973" s="298"/>
      <c r="D973" s="370" t="str">
        <f>D965</f>
        <v>FORNECIMENTO DE CAP-50/70</v>
      </c>
      <c r="E973" s="13"/>
      <c r="F973" s="565">
        <f>J968</f>
        <v>48.165624000000001</v>
      </c>
      <c r="G973" s="567"/>
      <c r="H973" s="682">
        <v>260</v>
      </c>
      <c r="I973" s="683"/>
      <c r="J973" s="53">
        <f>F973</f>
        <v>48.165624000000001</v>
      </c>
    </row>
    <row r="974" spans="1:10" ht="15" thickBot="1" x14ac:dyDescent="0.35">
      <c r="A974" s="559" t="s">
        <v>58</v>
      </c>
      <c r="B974" s="560"/>
      <c r="C974" s="560"/>
      <c r="D974" s="560"/>
      <c r="E974" s="560"/>
      <c r="F974" s="560"/>
      <c r="G974" s="560"/>
      <c r="H974" s="560"/>
      <c r="I974" s="561"/>
      <c r="J974" s="221">
        <f>SUM(J971:J973)</f>
        <v>71.322174000000004</v>
      </c>
    </row>
    <row r="975" spans="1:10" x14ac:dyDescent="0.3">
      <c r="A975" s="215" t="str">
        <f>ORÇAMENTO!A405</f>
        <v>23.13</v>
      </c>
      <c r="B975" s="218" t="str">
        <f>ORÇAMENTO!B405</f>
        <v>GOINFRA - T177</v>
      </c>
      <c r="C975" s="216">
        <f>ORÇAMENTO!C405</f>
        <v>44204</v>
      </c>
      <c r="D975" s="219" t="str">
        <f>ORÇAMENTO!D405</f>
        <v>CONCRETO BETUM.USINADO À QUENTE-CBUQ (AC/BC) (PAV.URB.)</v>
      </c>
      <c r="E975" s="216" t="str">
        <f>ORÇAMENTO!F405</f>
        <v>m3</v>
      </c>
      <c r="F975" s="568" t="s">
        <v>1195</v>
      </c>
      <c r="G975" s="569"/>
      <c r="H975" s="285" t="s">
        <v>1194</v>
      </c>
      <c r="I975" s="259"/>
      <c r="J975" s="229" t="s">
        <v>65</v>
      </c>
    </row>
    <row r="976" spans="1:10" x14ac:dyDescent="0.3">
      <c r="A976" s="119"/>
      <c r="B976" s="12"/>
      <c r="C976" s="13"/>
      <c r="D976" s="52" t="s">
        <v>1186</v>
      </c>
      <c r="E976" s="13"/>
      <c r="F976" s="565">
        <f>F962</f>
        <v>11879.75</v>
      </c>
      <c r="G976" s="567"/>
      <c r="H976" s="290">
        <v>0.03</v>
      </c>
      <c r="I976" s="260"/>
      <c r="J976" s="53">
        <f>F976*H976</f>
        <v>356.39249999999998</v>
      </c>
    </row>
    <row r="977" spans="1:10" x14ac:dyDescent="0.3">
      <c r="A977" s="119"/>
      <c r="B977" s="12"/>
      <c r="C977" s="13"/>
      <c r="D977" s="52" t="s">
        <v>1185</v>
      </c>
      <c r="E977" s="13"/>
      <c r="F977" s="565">
        <f>F963</f>
        <v>985</v>
      </c>
      <c r="G977" s="567"/>
      <c r="H977" s="290">
        <v>0.03</v>
      </c>
      <c r="I977" s="260"/>
      <c r="J977" s="53">
        <f>F977*H977</f>
        <v>29.549999999999997</v>
      </c>
    </row>
    <row r="978" spans="1:10" ht="15" thickBot="1" x14ac:dyDescent="0.35">
      <c r="A978" s="559" t="s">
        <v>58</v>
      </c>
      <c r="B978" s="560"/>
      <c r="C978" s="560"/>
      <c r="D978" s="560"/>
      <c r="E978" s="560"/>
      <c r="F978" s="560"/>
      <c r="G978" s="560"/>
      <c r="H978" s="560"/>
      <c r="I978" s="561"/>
      <c r="J978" s="221">
        <f>SUM(J976:J977)</f>
        <v>385.9425</v>
      </c>
    </row>
    <row r="979" spans="1:10" ht="28.8" x14ac:dyDescent="0.3">
      <c r="A979" s="215" t="str">
        <f>ORÇAMENTO!A406</f>
        <v>23.14</v>
      </c>
      <c r="B979" s="218" t="str">
        <f>ORÇAMENTO!B406</f>
        <v>GOINFRA - T177</v>
      </c>
      <c r="C979" s="216">
        <f>ORÇAMENTO!C406</f>
        <v>40460</v>
      </c>
      <c r="D979" s="219" t="str">
        <f>ORÇAMENTO!D406</f>
        <v>TRANSPORTE COMERCIAL DE MASSA</v>
      </c>
      <c r="E979" s="216" t="str">
        <f>ORÇAMENTO!F406</f>
        <v>tkm</v>
      </c>
      <c r="F979" s="284" t="s">
        <v>1195</v>
      </c>
      <c r="G979" s="264" t="s">
        <v>1194</v>
      </c>
      <c r="H979" s="284" t="s">
        <v>1192</v>
      </c>
      <c r="I979" s="286" t="s">
        <v>1193</v>
      </c>
      <c r="J979" s="229" t="s">
        <v>65</v>
      </c>
    </row>
    <row r="980" spans="1:10" x14ac:dyDescent="0.3">
      <c r="A980" s="119"/>
      <c r="B980" s="12"/>
      <c r="C980" s="13"/>
      <c r="D980" s="52" t="s">
        <v>1186</v>
      </c>
      <c r="E980" s="13"/>
      <c r="F980" s="287">
        <f>F976</f>
        <v>11879.75</v>
      </c>
      <c r="G980" s="288">
        <f>H976</f>
        <v>0.03</v>
      </c>
      <c r="H980" s="290">
        <v>2.4</v>
      </c>
      <c r="I980" s="292">
        <v>35.5</v>
      </c>
      <c r="J980" s="53">
        <f>F980*G980*H980*I980</f>
        <v>30364.641</v>
      </c>
    </row>
    <row r="981" spans="1:10" x14ac:dyDescent="0.3">
      <c r="A981" s="119"/>
      <c r="B981" s="12"/>
      <c r="C981" s="13"/>
      <c r="D981" s="52" t="s">
        <v>1185</v>
      </c>
      <c r="E981" s="13"/>
      <c r="F981" s="287">
        <f>F977</f>
        <v>985</v>
      </c>
      <c r="G981" s="288">
        <f>H977</f>
        <v>0.03</v>
      </c>
      <c r="H981" s="290">
        <v>2.4</v>
      </c>
      <c r="I981" s="292">
        <v>35.5</v>
      </c>
      <c r="J981" s="53">
        <f>F981*G981*H981*I981</f>
        <v>2517.6599999999994</v>
      </c>
    </row>
    <row r="982" spans="1:10" ht="15" thickBot="1" x14ac:dyDescent="0.35">
      <c r="A982" s="572" t="s">
        <v>58</v>
      </c>
      <c r="B982" s="573"/>
      <c r="C982" s="573"/>
      <c r="D982" s="573"/>
      <c r="E982" s="573"/>
      <c r="F982" s="573"/>
      <c r="G982" s="573"/>
      <c r="H982" s="573"/>
      <c r="I982" s="574"/>
      <c r="J982" s="166">
        <f>SUM(J980:J981)</f>
        <v>32882.300999999999</v>
      </c>
    </row>
    <row r="983" spans="1:10" ht="43.2" x14ac:dyDescent="0.3">
      <c r="A983" s="215" t="str">
        <f>ORÇAMENTO!A407</f>
        <v>23.15</v>
      </c>
      <c r="B983" s="216" t="str">
        <f>ORÇAMENTO!B407</f>
        <v>GOINFRA - T177</v>
      </c>
      <c r="C983" s="216">
        <f>ORÇAMENTO!C407</f>
        <v>40455</v>
      </c>
      <c r="D983" s="227" t="str">
        <f>ORÇAMENTO!D407</f>
        <v xml:space="preserve">TRANSPORTE COMERCIAL DE AGREGADOS </v>
      </c>
      <c r="E983" s="216" t="str">
        <f>ORÇAMENTO!F407</f>
        <v>m³km</v>
      </c>
      <c r="F983" s="264" t="s">
        <v>1225</v>
      </c>
      <c r="G983" s="264" t="s">
        <v>1192</v>
      </c>
      <c r="H983" s="264" t="s">
        <v>1226</v>
      </c>
      <c r="I983" s="293" t="s">
        <v>1193</v>
      </c>
      <c r="J983" s="229" t="s">
        <v>65</v>
      </c>
    </row>
    <row r="984" spans="1:10" x14ac:dyDescent="0.3">
      <c r="A984" s="119"/>
      <c r="B984" s="12"/>
      <c r="C984" s="13"/>
      <c r="D984" s="52" t="s">
        <v>1186</v>
      </c>
      <c r="E984" s="13"/>
      <c r="F984" s="287">
        <f>J971</f>
        <v>16.724174999999999</v>
      </c>
      <c r="G984" s="290">
        <v>1.4</v>
      </c>
      <c r="H984" s="369">
        <v>0.94799999999999995</v>
      </c>
      <c r="I984" s="68">
        <v>0.5</v>
      </c>
      <c r="J984" s="53">
        <f>((F984*H984)/G984)*I984</f>
        <v>5.6623278214285708</v>
      </c>
    </row>
    <row r="985" spans="1:10" x14ac:dyDescent="0.3">
      <c r="A985" s="119"/>
      <c r="B985" s="12"/>
      <c r="C985" s="13"/>
      <c r="D985" s="52" t="s">
        <v>1185</v>
      </c>
      <c r="E985" s="13"/>
      <c r="F985" s="287">
        <f>J972</f>
        <v>6.4323749999999995</v>
      </c>
      <c r="G985" s="290">
        <v>1.4</v>
      </c>
      <c r="H985" s="369">
        <v>0.94799999999999995</v>
      </c>
      <c r="I985" s="68">
        <v>0.5</v>
      </c>
      <c r="J985" s="53">
        <f>((F985*H985)/G985)*I985</f>
        <v>2.1778183928571426</v>
      </c>
    </row>
    <row r="986" spans="1:10" ht="15" thickBot="1" x14ac:dyDescent="0.35">
      <c r="A986" s="559" t="s">
        <v>58</v>
      </c>
      <c r="B986" s="560"/>
      <c r="C986" s="560"/>
      <c r="D986" s="560"/>
      <c r="E986" s="560"/>
      <c r="F986" s="560"/>
      <c r="G986" s="560"/>
      <c r="H986" s="560"/>
      <c r="I986" s="561"/>
      <c r="J986" s="221">
        <f>SUM(J984:J985)</f>
        <v>7.8401462142857135</v>
      </c>
    </row>
    <row r="987" spans="1:10" x14ac:dyDescent="0.3">
      <c r="A987" s="74"/>
      <c r="B987" s="75"/>
      <c r="C987" s="75"/>
      <c r="D987" s="75"/>
      <c r="E987" s="8"/>
      <c r="F987" s="425"/>
      <c r="G987" s="426"/>
      <c r="H987" s="79"/>
      <c r="I987" s="80"/>
      <c r="J987" s="274"/>
    </row>
    <row r="988" spans="1:10" x14ac:dyDescent="0.3">
      <c r="A988" s="81"/>
      <c r="B988" s="70"/>
      <c r="D988" s="70"/>
      <c r="E988" s="1"/>
      <c r="F988" s="154"/>
      <c r="G988" s="155"/>
      <c r="H988" s="83"/>
      <c r="I988" s="84"/>
      <c r="J988" s="85"/>
    </row>
    <row r="989" spans="1:10" x14ac:dyDescent="0.3">
      <c r="A989" s="81"/>
      <c r="B989" s="70"/>
      <c r="D989" s="70"/>
      <c r="E989" s="1"/>
      <c r="F989" s="154"/>
      <c r="G989" s="155"/>
      <c r="H989" s="83"/>
      <c r="I989" s="84"/>
      <c r="J989" s="85"/>
    </row>
    <row r="990" spans="1:10" x14ac:dyDescent="0.3">
      <c r="A990" s="481" t="s">
        <v>753</v>
      </c>
      <c r="B990" s="557"/>
      <c r="C990" s="557"/>
      <c r="D990" s="557"/>
      <c r="E990" s="557"/>
      <c r="F990" s="557"/>
      <c r="G990" s="557"/>
      <c r="H990" s="557"/>
      <c r="I990" s="557"/>
      <c r="J990" s="483"/>
    </row>
    <row r="991" spans="1:10" x14ac:dyDescent="0.3">
      <c r="A991" s="484" t="s">
        <v>1311</v>
      </c>
      <c r="B991" s="558"/>
      <c r="C991" s="558"/>
      <c r="D991" s="558"/>
      <c r="E991" s="558"/>
      <c r="F991" s="558"/>
      <c r="G991" s="558"/>
      <c r="H991" s="558"/>
      <c r="I991" s="558"/>
      <c r="J991" s="486"/>
    </row>
    <row r="992" spans="1:10" x14ac:dyDescent="0.3">
      <c r="A992" s="484" t="s">
        <v>1312</v>
      </c>
      <c r="B992" s="558"/>
      <c r="C992" s="558"/>
      <c r="D992" s="558"/>
      <c r="E992" s="558"/>
      <c r="F992" s="558"/>
      <c r="G992" s="558"/>
      <c r="H992" s="558"/>
      <c r="I992" s="558"/>
      <c r="J992" s="486"/>
    </row>
    <row r="993" spans="1:10" ht="15" thickBot="1" x14ac:dyDescent="0.35">
      <c r="A993" s="121"/>
      <c r="B993" s="95"/>
      <c r="C993" s="122"/>
      <c r="D993" s="143"/>
      <c r="E993" s="427"/>
      <c r="F993" s="427"/>
      <c r="G993" s="427"/>
      <c r="H993" s="427"/>
      <c r="I993" s="125"/>
      <c r="J993" s="98"/>
    </row>
  </sheetData>
  <sheetProtection selectLockedCells="1"/>
  <mergeCells count="1155">
    <mergeCell ref="D532:I532"/>
    <mergeCell ref="D503:I503"/>
    <mergeCell ref="D486:I486"/>
    <mergeCell ref="D481:I481"/>
    <mergeCell ref="D457:I457"/>
    <mergeCell ref="D425:I425"/>
    <mergeCell ref="D274:I274"/>
    <mergeCell ref="F549:G549"/>
    <mergeCell ref="F550:G550"/>
    <mergeCell ref="A542:I542"/>
    <mergeCell ref="F551:G551"/>
    <mergeCell ref="H551:I551"/>
    <mergeCell ref="H494:I494"/>
    <mergeCell ref="F494:G494"/>
    <mergeCell ref="F495:G495"/>
    <mergeCell ref="H495:I495"/>
    <mergeCell ref="H496:I496"/>
    <mergeCell ref="F496:G496"/>
    <mergeCell ref="F498:I498"/>
    <mergeCell ref="F534:I534"/>
    <mergeCell ref="A493:I493"/>
    <mergeCell ref="F500:I500"/>
    <mergeCell ref="F510:I510"/>
    <mergeCell ref="F511:I511"/>
    <mergeCell ref="H525:I525"/>
    <mergeCell ref="H526:I526"/>
    <mergeCell ref="F525:G525"/>
    <mergeCell ref="F519:I519"/>
    <mergeCell ref="F370:J370"/>
    <mergeCell ref="A517:I517"/>
    <mergeCell ref="F514:I514"/>
    <mergeCell ref="F515:I515"/>
    <mergeCell ref="F970:G970"/>
    <mergeCell ref="H970:I970"/>
    <mergeCell ref="F971:G971"/>
    <mergeCell ref="H971:I971"/>
    <mergeCell ref="F972:G972"/>
    <mergeCell ref="H972:I972"/>
    <mergeCell ref="A978:I978"/>
    <mergeCell ref="F975:G975"/>
    <mergeCell ref="F976:G976"/>
    <mergeCell ref="F977:G977"/>
    <mergeCell ref="F760:I760"/>
    <mergeCell ref="H773:I773"/>
    <mergeCell ref="H565:I565"/>
    <mergeCell ref="F614:G614"/>
    <mergeCell ref="H614:I614"/>
    <mergeCell ref="F624:G624"/>
    <mergeCell ref="F524:G524"/>
    <mergeCell ref="H524:I524"/>
    <mergeCell ref="H581:I581"/>
    <mergeCell ref="F772:G772"/>
    <mergeCell ref="H772:I772"/>
    <mergeCell ref="F563:G563"/>
    <mergeCell ref="F564:G564"/>
    <mergeCell ref="F565:G565"/>
    <mergeCell ref="H561:I561"/>
    <mergeCell ref="G137:I137"/>
    <mergeCell ref="F145:I145"/>
    <mergeCell ref="F516:I516"/>
    <mergeCell ref="F491:G491"/>
    <mergeCell ref="F490:G490"/>
    <mergeCell ref="F487:I487"/>
    <mergeCell ref="F488:I488"/>
    <mergeCell ref="F492:I492"/>
    <mergeCell ref="F526:G526"/>
    <mergeCell ref="F561:G561"/>
    <mergeCell ref="F562:G562"/>
    <mergeCell ref="F554:G554"/>
    <mergeCell ref="F548:G548"/>
    <mergeCell ref="F973:G973"/>
    <mergeCell ref="H973:I973"/>
    <mergeCell ref="D880:I880"/>
    <mergeCell ref="D771:I771"/>
    <mergeCell ref="F209:J209"/>
    <mergeCell ref="F294:J294"/>
    <mergeCell ref="F285:J285"/>
    <mergeCell ref="F286:J286"/>
    <mergeCell ref="F287:J287"/>
    <mergeCell ref="F222:J222"/>
    <mergeCell ref="F223:J223"/>
    <mergeCell ref="F224:J224"/>
    <mergeCell ref="F225:J225"/>
    <mergeCell ref="F226:J226"/>
    <mergeCell ref="F227:J227"/>
    <mergeCell ref="F228:J228"/>
    <mergeCell ref="F146:I146"/>
    <mergeCell ref="F263:J263"/>
    <mergeCell ref="F265:J265"/>
    <mergeCell ref="A982:I982"/>
    <mergeCell ref="F177:I177"/>
    <mergeCell ref="F178:I178"/>
    <mergeCell ref="F179:I179"/>
    <mergeCell ref="F180:I180"/>
    <mergeCell ref="F181:I181"/>
    <mergeCell ref="F182:I182"/>
    <mergeCell ref="F312:J312"/>
    <mergeCell ref="F271:J271"/>
    <mergeCell ref="F272:J272"/>
    <mergeCell ref="F418:J418"/>
    <mergeCell ref="F419:J419"/>
    <mergeCell ref="F420:J420"/>
    <mergeCell ref="F349:J349"/>
    <mergeCell ref="F339:J339"/>
    <mergeCell ref="F340:J340"/>
    <mergeCell ref="F345:J345"/>
    <mergeCell ref="F357:J357"/>
    <mergeCell ref="F363:J363"/>
    <mergeCell ref="F252:J252"/>
    <mergeCell ref="F253:J253"/>
    <mergeCell ref="F254:J254"/>
    <mergeCell ref="F359:J359"/>
    <mergeCell ref="F360:J360"/>
    <mergeCell ref="F369:J369"/>
    <mergeCell ref="F366:J366"/>
    <mergeCell ref="F367:J367"/>
    <mergeCell ref="F310:J310"/>
    <mergeCell ref="D198:I198"/>
    <mergeCell ref="F243:J243"/>
    <mergeCell ref="F244:J244"/>
    <mergeCell ref="F221:J221"/>
    <mergeCell ref="F232:J232"/>
    <mergeCell ref="F233:J233"/>
    <mergeCell ref="F168:I168"/>
    <mergeCell ref="F169:I169"/>
    <mergeCell ref="F239:J239"/>
    <mergeCell ref="F210:J210"/>
    <mergeCell ref="F211:J211"/>
    <mergeCell ref="F212:J212"/>
    <mergeCell ref="A866:I866"/>
    <mergeCell ref="F859:G859"/>
    <mergeCell ref="H859:I859"/>
    <mergeCell ref="F795:G795"/>
    <mergeCell ref="F758:I758"/>
    <mergeCell ref="A115:J115"/>
    <mergeCell ref="A173:I173"/>
    <mergeCell ref="F159:I159"/>
    <mergeCell ref="F206:J206"/>
    <mergeCell ref="F207:J207"/>
    <mergeCell ref="F208:J208"/>
    <mergeCell ref="D116:I116"/>
    <mergeCell ref="A158:I158"/>
    <mergeCell ref="F140:I140"/>
    <mergeCell ref="A142:I142"/>
    <mergeCell ref="F202:J202"/>
    <mergeCell ref="A190:I190"/>
    <mergeCell ref="F215:J215"/>
    <mergeCell ref="F216:J216"/>
    <mergeCell ref="F217:J217"/>
    <mergeCell ref="F218:J218"/>
    <mergeCell ref="F139:I139"/>
    <mergeCell ref="F203:J203"/>
    <mergeCell ref="F204:J204"/>
    <mergeCell ref="F205:J205"/>
    <mergeCell ref="A138:I138"/>
    <mergeCell ref="A128:I128"/>
    <mergeCell ref="F200:J200"/>
    <mergeCell ref="F151:I151"/>
    <mergeCell ref="F155:I155"/>
    <mergeCell ref="A163:I163"/>
    <mergeCell ref="F176:I176"/>
    <mergeCell ref="F523:G523"/>
    <mergeCell ref="A484:I484"/>
    <mergeCell ref="A479:I479"/>
    <mergeCell ref="A476:I476"/>
    <mergeCell ref="A461:I461"/>
    <mergeCell ref="F482:I482"/>
    <mergeCell ref="F346:J346"/>
    <mergeCell ref="F347:J347"/>
    <mergeCell ref="F348:J348"/>
    <mergeCell ref="F368:J368"/>
    <mergeCell ref="F373:J373"/>
    <mergeCell ref="F374:J374"/>
    <mergeCell ref="F477:I477"/>
    <mergeCell ref="F350:J350"/>
    <mergeCell ref="F478:I478"/>
    <mergeCell ref="F325:J325"/>
    <mergeCell ref="F326:J326"/>
    <mergeCell ref="F341:J341"/>
    <mergeCell ref="F342:J342"/>
    <mergeCell ref="F344:J344"/>
    <mergeCell ref="F194:I194"/>
    <mergeCell ref="A183:I183"/>
    <mergeCell ref="F166:I166"/>
    <mergeCell ref="A196:I196"/>
    <mergeCell ref="A765:I765"/>
    <mergeCell ref="D598:I598"/>
    <mergeCell ref="F688:I688"/>
    <mergeCell ref="F764:I764"/>
    <mergeCell ref="F762:I762"/>
    <mergeCell ref="F727:I727"/>
    <mergeCell ref="F728:I728"/>
    <mergeCell ref="F729:I729"/>
    <mergeCell ref="F730:I730"/>
    <mergeCell ref="F731:I731"/>
    <mergeCell ref="F761:I761"/>
    <mergeCell ref="F755:I755"/>
    <mergeCell ref="F696:I696"/>
    <mergeCell ref="F697:I697"/>
    <mergeCell ref="F698:I698"/>
    <mergeCell ref="F699:I699"/>
    <mergeCell ref="F700:I700"/>
    <mergeCell ref="F701:I701"/>
    <mergeCell ref="F702:I702"/>
    <mergeCell ref="A759:I759"/>
    <mergeCell ref="A753:I753"/>
    <mergeCell ref="A747:I747"/>
    <mergeCell ref="F745:I745"/>
    <mergeCell ref="F746:I746"/>
    <mergeCell ref="F744:I744"/>
    <mergeCell ref="F741:I741"/>
    <mergeCell ref="F750:I750"/>
    <mergeCell ref="F751:I751"/>
    <mergeCell ref="F752:I752"/>
    <mergeCell ref="F754:I754"/>
    <mergeCell ref="D749:I749"/>
    <mergeCell ref="F706:I706"/>
    <mergeCell ref="H562:I562"/>
    <mergeCell ref="H563:I563"/>
    <mergeCell ref="H564:I564"/>
    <mergeCell ref="F694:I694"/>
    <mergeCell ref="F695:I695"/>
    <mergeCell ref="F692:I692"/>
    <mergeCell ref="F693:I693"/>
    <mergeCell ref="H647:I647"/>
    <mergeCell ref="F649:G649"/>
    <mergeCell ref="H619:I619"/>
    <mergeCell ref="F621:G621"/>
    <mergeCell ref="F673:G673"/>
    <mergeCell ref="H673:I673"/>
    <mergeCell ref="F679:G679"/>
    <mergeCell ref="H663:I663"/>
    <mergeCell ref="F715:I715"/>
    <mergeCell ref="F716:I716"/>
    <mergeCell ref="H672:I672"/>
    <mergeCell ref="H675:I675"/>
    <mergeCell ref="A681:J681"/>
    <mergeCell ref="F710:I710"/>
    <mergeCell ref="F711:I711"/>
    <mergeCell ref="F712:I712"/>
    <mergeCell ref="D709:I709"/>
    <mergeCell ref="F685:I685"/>
    <mergeCell ref="F686:I686"/>
    <mergeCell ref="F687:I687"/>
    <mergeCell ref="H657:I657"/>
    <mergeCell ref="F663:G663"/>
    <mergeCell ref="F653:G653"/>
    <mergeCell ref="F703:I703"/>
    <mergeCell ref="D682:I682"/>
    <mergeCell ref="F704:I704"/>
    <mergeCell ref="F705:I705"/>
    <mergeCell ref="F690:I690"/>
    <mergeCell ref="F691:I691"/>
    <mergeCell ref="H633:I633"/>
    <mergeCell ref="H632:I632"/>
    <mergeCell ref="H575:I575"/>
    <mergeCell ref="H576:I576"/>
    <mergeCell ref="H579:I579"/>
    <mergeCell ref="H638:I638"/>
    <mergeCell ref="F637:G637"/>
    <mergeCell ref="H645:I645"/>
    <mergeCell ref="F654:G654"/>
    <mergeCell ref="H654:I654"/>
    <mergeCell ref="F651:G651"/>
    <mergeCell ref="H648:I648"/>
    <mergeCell ref="H660:I660"/>
    <mergeCell ref="F661:G661"/>
    <mergeCell ref="H661:I661"/>
    <mergeCell ref="H667:I667"/>
    <mergeCell ref="H640:I640"/>
    <mergeCell ref="H652:I652"/>
    <mergeCell ref="F643:G643"/>
    <mergeCell ref="H643:I643"/>
    <mergeCell ref="F536:I536"/>
    <mergeCell ref="F537:I537"/>
    <mergeCell ref="H582:I582"/>
    <mergeCell ref="F555:G555"/>
    <mergeCell ref="F535:I535"/>
    <mergeCell ref="H622:I622"/>
    <mergeCell ref="F558:G558"/>
    <mergeCell ref="H591:I591"/>
    <mergeCell ref="H595:I595"/>
    <mergeCell ref="H556:I556"/>
    <mergeCell ref="F629:G629"/>
    <mergeCell ref="F630:G630"/>
    <mergeCell ref="F620:G620"/>
    <mergeCell ref="H606:I606"/>
    <mergeCell ref="F576:G576"/>
    <mergeCell ref="F611:G611"/>
    <mergeCell ref="F609:G609"/>
    <mergeCell ref="F593:G593"/>
    <mergeCell ref="F594:G594"/>
    <mergeCell ref="F595:G595"/>
    <mergeCell ref="H627:I627"/>
    <mergeCell ref="H615:I615"/>
    <mergeCell ref="F538:I538"/>
    <mergeCell ref="F539:I539"/>
    <mergeCell ref="D547:I547"/>
    <mergeCell ref="F153:I153"/>
    <mergeCell ref="F156:I156"/>
    <mergeCell ref="F157:I157"/>
    <mergeCell ref="F161:I161"/>
    <mergeCell ref="F165:I165"/>
    <mergeCell ref="F108:I108"/>
    <mergeCell ref="A149:I149"/>
    <mergeCell ref="F92:I92"/>
    <mergeCell ref="F93:I93"/>
    <mergeCell ref="F99:I99"/>
    <mergeCell ref="H578:I578"/>
    <mergeCell ref="H586:I586"/>
    <mergeCell ref="H589:I589"/>
    <mergeCell ref="F581:G581"/>
    <mergeCell ref="F582:G582"/>
    <mergeCell ref="F583:G583"/>
    <mergeCell ref="F584:G584"/>
    <mergeCell ref="F364:J364"/>
    <mergeCell ref="F304:J304"/>
    <mergeCell ref="F305:J305"/>
    <mergeCell ref="A567:I567"/>
    <mergeCell ref="F573:G573"/>
    <mergeCell ref="H568:I568"/>
    <mergeCell ref="F570:G570"/>
    <mergeCell ref="F571:G571"/>
    <mergeCell ref="F572:G572"/>
    <mergeCell ref="H572:I572"/>
    <mergeCell ref="H573:I573"/>
    <mergeCell ref="H555:I555"/>
    <mergeCell ref="H569:I569"/>
    <mergeCell ref="H560:I560"/>
    <mergeCell ref="H566:I566"/>
    <mergeCell ref="F167:I167"/>
    <mergeCell ref="F162:I162"/>
    <mergeCell ref="F148:I148"/>
    <mergeCell ref="F306:J306"/>
    <mergeCell ref="F160:I160"/>
    <mergeCell ref="A193:I193"/>
    <mergeCell ref="F170:I170"/>
    <mergeCell ref="G132:I132"/>
    <mergeCell ref="G133:I133"/>
    <mergeCell ref="G134:I134"/>
    <mergeCell ref="G135:I135"/>
    <mergeCell ref="F250:J250"/>
    <mergeCell ref="F251:J251"/>
    <mergeCell ref="F602:G602"/>
    <mergeCell ref="H592:I592"/>
    <mergeCell ref="A590:I590"/>
    <mergeCell ref="H583:I583"/>
    <mergeCell ref="H570:I570"/>
    <mergeCell ref="H571:I571"/>
    <mergeCell ref="F309:J309"/>
    <mergeCell ref="H523:I523"/>
    <mergeCell ref="F338:J338"/>
    <mergeCell ref="F556:G556"/>
    <mergeCell ref="F557:G557"/>
    <mergeCell ref="F314:J314"/>
    <mergeCell ref="F328:J328"/>
    <mergeCell ref="F307:J307"/>
    <mergeCell ref="F308:J308"/>
    <mergeCell ref="F147:I147"/>
    <mergeCell ref="F141:I141"/>
    <mergeCell ref="F152:I152"/>
    <mergeCell ref="F154:I154"/>
    <mergeCell ref="F219:J219"/>
    <mergeCell ref="F78:I78"/>
    <mergeCell ref="F85:I85"/>
    <mergeCell ref="F100:I100"/>
    <mergeCell ref="F73:I73"/>
    <mergeCell ref="F74:I74"/>
    <mergeCell ref="F75:I75"/>
    <mergeCell ref="F76:I76"/>
    <mergeCell ref="F81:I81"/>
    <mergeCell ref="F171:I171"/>
    <mergeCell ref="A72:I72"/>
    <mergeCell ref="A86:I86"/>
    <mergeCell ref="A95:I95"/>
    <mergeCell ref="F96:I96"/>
    <mergeCell ref="F351:J351"/>
    <mergeCell ref="F352:J352"/>
    <mergeCell ref="F258:J258"/>
    <mergeCell ref="F329:J329"/>
    <mergeCell ref="F330:J330"/>
    <mergeCell ref="F337:J337"/>
    <mergeCell ref="F88:I88"/>
    <mergeCell ref="F102:I102"/>
    <mergeCell ref="F103:I103"/>
    <mergeCell ref="F113:I113"/>
    <mergeCell ref="G130:I130"/>
    <mergeCell ref="G129:I129"/>
    <mergeCell ref="A114:I114"/>
    <mergeCell ref="A104:I104"/>
    <mergeCell ref="F110:I110"/>
    <mergeCell ref="F111:I111"/>
    <mergeCell ref="A101:I101"/>
    <mergeCell ref="G136:I136"/>
    <mergeCell ref="F143:I143"/>
    <mergeCell ref="F144:I144"/>
    <mergeCell ref="F82:I82"/>
    <mergeCell ref="F83:I83"/>
    <mergeCell ref="F77:I77"/>
    <mergeCell ref="F195:I195"/>
    <mergeCell ref="F191:I191"/>
    <mergeCell ref="F201:J201"/>
    <mergeCell ref="F261:J261"/>
    <mergeCell ref="F262:J262"/>
    <mergeCell ref="A107:I107"/>
    <mergeCell ref="F264:J264"/>
    <mergeCell ref="F293:J293"/>
    <mergeCell ref="F301:J301"/>
    <mergeCell ref="F256:J256"/>
    <mergeCell ref="F266:J266"/>
    <mergeCell ref="F267:J267"/>
    <mergeCell ref="F268:J268"/>
    <mergeCell ref="F269:J269"/>
    <mergeCell ref="F270:J270"/>
    <mergeCell ref="F109:I109"/>
    <mergeCell ref="F112:I112"/>
    <mergeCell ref="G131:I131"/>
    <mergeCell ref="F187:I187"/>
    <mergeCell ref="F188:I188"/>
    <mergeCell ref="F189:I189"/>
    <mergeCell ref="F105:I105"/>
    <mergeCell ref="F106:I106"/>
    <mergeCell ref="F150:I150"/>
    <mergeCell ref="F164:I164"/>
    <mergeCell ref="F248:J248"/>
    <mergeCell ref="F249:J249"/>
    <mergeCell ref="H25:I25"/>
    <mergeCell ref="F26:G26"/>
    <mergeCell ref="H26:I26"/>
    <mergeCell ref="F38:G38"/>
    <mergeCell ref="F39:G39"/>
    <mergeCell ref="F43:G43"/>
    <mergeCell ref="F44:G44"/>
    <mergeCell ref="F51:I51"/>
    <mergeCell ref="G71:I71"/>
    <mergeCell ref="G66:I66"/>
    <mergeCell ref="A30:I30"/>
    <mergeCell ref="A40:I40"/>
    <mergeCell ref="A48:I48"/>
    <mergeCell ref="F33:G33"/>
    <mergeCell ref="F84:I84"/>
    <mergeCell ref="A89:I89"/>
    <mergeCell ref="F87:I87"/>
    <mergeCell ref="F28:G28"/>
    <mergeCell ref="F29:G29"/>
    <mergeCell ref="F41:G41"/>
    <mergeCell ref="A27:I27"/>
    <mergeCell ref="A53:I53"/>
    <mergeCell ref="D50:I50"/>
    <mergeCell ref="D32:I32"/>
    <mergeCell ref="A31:J31"/>
    <mergeCell ref="F36:G36"/>
    <mergeCell ref="F37:G37"/>
    <mergeCell ref="A45:I45"/>
    <mergeCell ref="G67:I67"/>
    <mergeCell ref="G68:I68"/>
    <mergeCell ref="G69:I69"/>
    <mergeCell ref="A1:J1"/>
    <mergeCell ref="A2:J2"/>
    <mergeCell ref="A3:J3"/>
    <mergeCell ref="A4:J4"/>
    <mergeCell ref="A5:J5"/>
    <mergeCell ref="A6:J6"/>
    <mergeCell ref="A10:J10"/>
    <mergeCell ref="A9:J9"/>
    <mergeCell ref="F15:J15"/>
    <mergeCell ref="F17:J17"/>
    <mergeCell ref="F47:G47"/>
    <mergeCell ref="A35:I35"/>
    <mergeCell ref="A19:I19"/>
    <mergeCell ref="F14:J14"/>
    <mergeCell ref="A20:J20"/>
    <mergeCell ref="F97:I97"/>
    <mergeCell ref="F98:I98"/>
    <mergeCell ref="A65:I65"/>
    <mergeCell ref="F34:G34"/>
    <mergeCell ref="F42:G42"/>
    <mergeCell ref="F24:G24"/>
    <mergeCell ref="H24:I24"/>
    <mergeCell ref="F52:I52"/>
    <mergeCell ref="G70:I70"/>
    <mergeCell ref="A79:I79"/>
    <mergeCell ref="F91:I91"/>
    <mergeCell ref="F94:I94"/>
    <mergeCell ref="F25:G25"/>
    <mergeCell ref="A59:I59"/>
    <mergeCell ref="A7:J7"/>
    <mergeCell ref="D21:I21"/>
    <mergeCell ref="F90:I90"/>
    <mergeCell ref="F382:J382"/>
    <mergeCell ref="F303:J303"/>
    <mergeCell ref="F383:J383"/>
    <mergeCell ref="F384:J384"/>
    <mergeCell ref="F385:J385"/>
    <mergeCell ref="F386:J386"/>
    <mergeCell ref="F387:J387"/>
    <mergeCell ref="F414:J414"/>
    <mergeCell ref="F331:J331"/>
    <mergeCell ref="F358:J358"/>
    <mergeCell ref="F361:J361"/>
    <mergeCell ref="F362:J362"/>
    <mergeCell ref="F295:J295"/>
    <mergeCell ref="F296:J296"/>
    <mergeCell ref="F299:J299"/>
    <mergeCell ref="F300:J300"/>
    <mergeCell ref="F324:J324"/>
    <mergeCell ref="F356:J356"/>
    <mergeCell ref="F375:J375"/>
    <mergeCell ref="F376:J376"/>
    <mergeCell ref="F353:J353"/>
    <mergeCell ref="F332:J332"/>
    <mergeCell ref="F333:J333"/>
    <mergeCell ref="F334:J334"/>
    <mergeCell ref="F335:J335"/>
    <mergeCell ref="F336:J336"/>
    <mergeCell ref="F315:J315"/>
    <mergeCell ref="F317:J317"/>
    <mergeCell ref="F318:J318"/>
    <mergeCell ref="F313:J313"/>
    <mergeCell ref="F234:J234"/>
    <mergeCell ref="F235:J235"/>
    <mergeCell ref="F316:J316"/>
    <mergeCell ref="F172:I172"/>
    <mergeCell ref="F174:I174"/>
    <mergeCell ref="F175:I175"/>
    <mergeCell ref="F242:J242"/>
    <mergeCell ref="H448:I448"/>
    <mergeCell ref="F213:J213"/>
    <mergeCell ref="A197:J197"/>
    <mergeCell ref="F199:J199"/>
    <mergeCell ref="F184:I184"/>
    <mergeCell ref="F192:I192"/>
    <mergeCell ref="F185:I185"/>
    <mergeCell ref="A186:I186"/>
    <mergeCell ref="F241:J241"/>
    <mergeCell ref="F214:J214"/>
    <mergeCell ref="F245:J245"/>
    <mergeCell ref="F391:J391"/>
    <mergeCell ref="F392:J392"/>
    <mergeCell ref="F393:J393"/>
    <mergeCell ref="F394:J394"/>
    <mergeCell ref="F378:J378"/>
    <mergeCell ref="F319:J319"/>
    <mergeCell ref="F320:J320"/>
    <mergeCell ref="F321:J321"/>
    <mergeCell ref="F322:J322"/>
    <mergeCell ref="F323:J323"/>
    <mergeCell ref="F297:J297"/>
    <mergeCell ref="F289:J289"/>
    <mergeCell ref="F290:J290"/>
    <mergeCell ref="F288:J288"/>
    <mergeCell ref="F291:J291"/>
    <mergeCell ref="F292:J292"/>
    <mergeCell ref="F277:J277"/>
    <mergeCell ref="F278:J278"/>
    <mergeCell ref="F279:J279"/>
    <mergeCell ref="F280:J280"/>
    <mergeCell ref="F413:J413"/>
    <mergeCell ref="F343:J343"/>
    <mergeCell ref="F246:J246"/>
    <mergeCell ref="F433:G433"/>
    <mergeCell ref="F298:J298"/>
    <mergeCell ref="F257:J257"/>
    <mergeCell ref="F247:J247"/>
    <mergeCell ref="H427:I427"/>
    <mergeCell ref="F432:G432"/>
    <mergeCell ref="F431:G431"/>
    <mergeCell ref="F302:J302"/>
    <mergeCell ref="F275:J275"/>
    <mergeCell ref="F276:J276"/>
    <mergeCell ref="F395:J395"/>
    <mergeCell ref="F396:J396"/>
    <mergeCell ref="F388:J388"/>
    <mergeCell ref="F389:J389"/>
    <mergeCell ref="F390:J390"/>
    <mergeCell ref="F371:J371"/>
    <mergeCell ref="F372:J372"/>
    <mergeCell ref="F365:J365"/>
    <mergeCell ref="F354:J354"/>
    <mergeCell ref="F377:J377"/>
    <mergeCell ref="F415:J415"/>
    <mergeCell ref="F398:J398"/>
    <mergeCell ref="F399:J399"/>
    <mergeCell ref="A722:I722"/>
    <mergeCell ref="A489:I489"/>
    <mergeCell ref="A552:I552"/>
    <mergeCell ref="A545:I545"/>
    <mergeCell ref="A527:I527"/>
    <mergeCell ref="A522:I522"/>
    <mergeCell ref="A530:I530"/>
    <mergeCell ref="F559:G559"/>
    <mergeCell ref="F560:G560"/>
    <mergeCell ref="F566:G566"/>
    <mergeCell ref="F568:G568"/>
    <mergeCell ref="F569:G569"/>
    <mergeCell ref="H548:I548"/>
    <mergeCell ref="H549:I549"/>
    <mergeCell ref="H550:I550"/>
    <mergeCell ref="F544:I544"/>
    <mergeCell ref="F543:I543"/>
    <mergeCell ref="H584:I584"/>
    <mergeCell ref="A596:I596"/>
    <mergeCell ref="F592:G592"/>
    <mergeCell ref="H611:I611"/>
    <mergeCell ref="H594:I594"/>
    <mergeCell ref="H602:I602"/>
    <mergeCell ref="F603:G603"/>
    <mergeCell ref="H603:I603"/>
    <mergeCell ref="H612:I612"/>
    <mergeCell ref="H593:I593"/>
    <mergeCell ref="H587:I587"/>
    <mergeCell ref="H588:I588"/>
    <mergeCell ref="F540:I540"/>
    <mergeCell ref="F541:I541"/>
    <mergeCell ref="F533:I533"/>
    <mergeCell ref="F882:I882"/>
    <mergeCell ref="F883:I883"/>
    <mergeCell ref="F890:I890"/>
    <mergeCell ref="F891:I891"/>
    <mergeCell ref="F773:G773"/>
    <mergeCell ref="F811:G811"/>
    <mergeCell ref="F835:I835"/>
    <mergeCell ref="A828:I828"/>
    <mergeCell ref="H811:I811"/>
    <mergeCell ref="F814:G814"/>
    <mergeCell ref="H814:I814"/>
    <mergeCell ref="F797:G797"/>
    <mergeCell ref="H797:I797"/>
    <mergeCell ref="F798:G798"/>
    <mergeCell ref="H821:I821"/>
    <mergeCell ref="F825:G825"/>
    <mergeCell ref="H825:I825"/>
    <mergeCell ref="A827:I827"/>
    <mergeCell ref="A862:I862"/>
    <mergeCell ref="F861:G861"/>
    <mergeCell ref="H861:I861"/>
    <mergeCell ref="F851:I851"/>
    <mergeCell ref="F852:I852"/>
    <mergeCell ref="F853:I853"/>
    <mergeCell ref="F844:I844"/>
    <mergeCell ref="F809:G809"/>
    <mergeCell ref="H818:I818"/>
    <mergeCell ref="A820:I820"/>
    <mergeCell ref="F818:G818"/>
    <mergeCell ref="F871:I871"/>
    <mergeCell ref="F858:G858"/>
    <mergeCell ref="H858:I858"/>
    <mergeCell ref="F855:G855"/>
    <mergeCell ref="F856:G856"/>
    <mergeCell ref="F857:G857"/>
    <mergeCell ref="F860:G860"/>
    <mergeCell ref="H856:I856"/>
    <mergeCell ref="F821:G821"/>
    <mergeCell ref="F604:G604"/>
    <mergeCell ref="F605:G605"/>
    <mergeCell ref="F786:I786"/>
    <mergeCell ref="F787:I787"/>
    <mergeCell ref="F776:G776"/>
    <mergeCell ref="H776:I776"/>
    <mergeCell ref="F756:I756"/>
    <mergeCell ref="F812:I812"/>
    <mergeCell ref="F790:I790"/>
    <mergeCell ref="F665:G665"/>
    <mergeCell ref="H665:I665"/>
    <mergeCell ref="F667:G667"/>
    <mergeCell ref="F608:G608"/>
    <mergeCell ref="F633:G633"/>
    <mergeCell ref="H609:I609"/>
    <mergeCell ref="F610:G610"/>
    <mergeCell ref="H610:I610"/>
    <mergeCell ref="F671:G671"/>
    <mergeCell ref="H671:I671"/>
    <mergeCell ref="F672:G672"/>
    <mergeCell ref="H644:I644"/>
    <mergeCell ref="F645:G645"/>
    <mergeCell ref="F646:G646"/>
    <mergeCell ref="H656:I656"/>
    <mergeCell ref="H621:I621"/>
    <mergeCell ref="F623:G623"/>
    <mergeCell ref="F668:G668"/>
    <mergeCell ref="H668:I668"/>
    <mergeCell ref="F669:G669"/>
    <mergeCell ref="H669:I669"/>
    <mergeCell ref="A635:I635"/>
    <mergeCell ref="A617:I617"/>
    <mergeCell ref="F674:G674"/>
    <mergeCell ref="H674:I674"/>
    <mergeCell ref="F684:I684"/>
    <mergeCell ref="F676:G676"/>
    <mergeCell ref="F627:G627"/>
    <mergeCell ref="H666:I666"/>
    <mergeCell ref="F670:G670"/>
    <mergeCell ref="H670:I670"/>
    <mergeCell ref="H651:I651"/>
    <mergeCell ref="F652:G652"/>
    <mergeCell ref="F662:G662"/>
    <mergeCell ref="F666:G666"/>
    <mergeCell ref="H662:I662"/>
    <mergeCell ref="F631:G631"/>
    <mergeCell ref="F632:G632"/>
    <mergeCell ref="H642:I642"/>
    <mergeCell ref="F656:G656"/>
    <mergeCell ref="F657:G657"/>
    <mergeCell ref="H623:I623"/>
    <mergeCell ref="H631:I631"/>
    <mergeCell ref="F625:G625"/>
    <mergeCell ref="H625:I625"/>
    <mergeCell ref="A639:I639"/>
    <mergeCell ref="F675:G675"/>
    <mergeCell ref="F659:G659"/>
    <mergeCell ref="F648:G648"/>
    <mergeCell ref="A964:I964"/>
    <mergeCell ref="A921:I921"/>
    <mergeCell ref="A915:I915"/>
    <mergeCell ref="A910:I910"/>
    <mergeCell ref="A907:I907"/>
    <mergeCell ref="A899:I899"/>
    <mergeCell ref="A896:I896"/>
    <mergeCell ref="A893:I893"/>
    <mergeCell ref="A884:I884"/>
    <mergeCell ref="F895:I895"/>
    <mergeCell ref="F897:I897"/>
    <mergeCell ref="F898:I898"/>
    <mergeCell ref="F909:I909"/>
    <mergeCell ref="F914:I914"/>
    <mergeCell ref="F922:I922"/>
    <mergeCell ref="F927:I927"/>
    <mergeCell ref="F928:I928"/>
    <mergeCell ref="A929:I929"/>
    <mergeCell ref="F930:I930"/>
    <mergeCell ref="F923:I923"/>
    <mergeCell ref="F913:I913"/>
    <mergeCell ref="F912:I912"/>
    <mergeCell ref="A925:J925"/>
    <mergeCell ref="H957:I957"/>
    <mergeCell ref="H958:I958"/>
    <mergeCell ref="H959:I959"/>
    <mergeCell ref="A932:I932"/>
    <mergeCell ref="D926:I926"/>
    <mergeCell ref="F959:G959"/>
    <mergeCell ref="A8:J8"/>
    <mergeCell ref="B11:C11"/>
    <mergeCell ref="A12:J12"/>
    <mergeCell ref="F22:G22"/>
    <mergeCell ref="H22:I22"/>
    <mergeCell ref="H23:I23"/>
    <mergeCell ref="F23:G23"/>
    <mergeCell ref="F18:J18"/>
    <mergeCell ref="F11:J11"/>
    <mergeCell ref="A16:I16"/>
    <mergeCell ref="D13:I13"/>
    <mergeCell ref="A49:J49"/>
    <mergeCell ref="F46:G46"/>
    <mergeCell ref="F240:J240"/>
    <mergeCell ref="H451:I451"/>
    <mergeCell ref="F447:G447"/>
    <mergeCell ref="F434:G434"/>
    <mergeCell ref="F435:G435"/>
    <mergeCell ref="F436:G436"/>
    <mergeCell ref="H434:I434"/>
    <mergeCell ref="H435:I435"/>
    <mergeCell ref="H436:I436"/>
    <mergeCell ref="F416:J416"/>
    <mergeCell ref="F417:J417"/>
    <mergeCell ref="F397:J397"/>
    <mergeCell ref="F411:J411"/>
    <mergeCell ref="F412:J412"/>
    <mergeCell ref="F428:G428"/>
    <mergeCell ref="F355:J355"/>
    <mergeCell ref="F429:G429"/>
    <mergeCell ref="F404:J404"/>
    <mergeCell ref="A936:I936"/>
    <mergeCell ref="A887:I887"/>
    <mergeCell ref="F886:I886"/>
    <mergeCell ref="F885:I885"/>
    <mergeCell ref="F647:G647"/>
    <mergeCell ref="H604:I604"/>
    <mergeCell ref="H605:I605"/>
    <mergeCell ref="H618:I618"/>
    <mergeCell ref="F802:I802"/>
    <mergeCell ref="F734:I734"/>
    <mergeCell ref="F735:I735"/>
    <mergeCell ref="F736:I736"/>
    <mergeCell ref="F737:I737"/>
    <mergeCell ref="F738:I738"/>
    <mergeCell ref="F739:I739"/>
    <mergeCell ref="F740:I740"/>
    <mergeCell ref="H629:I629"/>
    <mergeCell ref="H630:I630"/>
    <mergeCell ref="H628:I628"/>
    <mergeCell ref="H650:I650"/>
    <mergeCell ref="F660:G660"/>
    <mergeCell ref="F638:G638"/>
    <mergeCell ref="H653:I653"/>
    <mergeCell ref="F644:G644"/>
    <mergeCell ref="H608:I608"/>
    <mergeCell ref="H607:I607"/>
    <mergeCell ref="H634:I634"/>
    <mergeCell ref="H626:I626"/>
    <mergeCell ref="F615:G615"/>
    <mergeCell ref="F626:G626"/>
    <mergeCell ref="F658:G658"/>
    <mergeCell ref="H659:I659"/>
    <mergeCell ref="F311:J311"/>
    <mergeCell ref="F438:G438"/>
    <mergeCell ref="F453:G453"/>
    <mergeCell ref="F327:J327"/>
    <mergeCell ref="F437:G437"/>
    <mergeCell ref="H437:I437"/>
    <mergeCell ref="F504:I504"/>
    <mergeCell ref="F505:I505"/>
    <mergeCell ref="A512:I512"/>
    <mergeCell ref="A497:I497"/>
    <mergeCell ref="B498:C498"/>
    <mergeCell ref="F499:I499"/>
    <mergeCell ref="A509:I509"/>
    <mergeCell ref="A506:I506"/>
    <mergeCell ref="F518:I518"/>
    <mergeCell ref="F466:I466"/>
    <mergeCell ref="F405:J405"/>
    <mergeCell ref="F471:I471"/>
    <mergeCell ref="F472:I472"/>
    <mergeCell ref="F462:I462"/>
    <mergeCell ref="F463:I463"/>
    <mergeCell ref="F464:I464"/>
    <mergeCell ref="F465:I465"/>
    <mergeCell ref="A456:J456"/>
    <mergeCell ref="H447:I447"/>
    <mergeCell ref="F446:G446"/>
    <mergeCell ref="H446:I446"/>
    <mergeCell ref="H459:I459"/>
    <mergeCell ref="F473:I473"/>
    <mergeCell ref="A455:I455"/>
    <mergeCell ref="A443:I443"/>
    <mergeCell ref="F444:G444"/>
    <mergeCell ref="H441:I441"/>
    <mergeCell ref="F655:G655"/>
    <mergeCell ref="F430:G430"/>
    <mergeCell ref="F423:J423"/>
    <mergeCell ref="F427:G427"/>
    <mergeCell ref="F406:J406"/>
    <mergeCell ref="F408:J408"/>
    <mergeCell ref="F409:J409"/>
    <mergeCell ref="F410:J410"/>
    <mergeCell ref="H428:I428"/>
    <mergeCell ref="H429:I429"/>
    <mergeCell ref="A580:I580"/>
    <mergeCell ref="F475:I475"/>
    <mergeCell ref="F468:I468"/>
    <mergeCell ref="F469:I469"/>
    <mergeCell ref="F470:I470"/>
    <mergeCell ref="F379:J379"/>
    <mergeCell ref="H585:I585"/>
    <mergeCell ref="H559:I559"/>
    <mergeCell ref="F553:G553"/>
    <mergeCell ref="F454:G454"/>
    <mergeCell ref="H454:I454"/>
    <mergeCell ref="H452:I452"/>
    <mergeCell ref="H453:I453"/>
    <mergeCell ref="F400:J400"/>
    <mergeCell ref="F401:J401"/>
    <mergeCell ref="F402:J402"/>
    <mergeCell ref="F426:G426"/>
    <mergeCell ref="H426:I426"/>
    <mergeCell ref="F407:J407"/>
    <mergeCell ref="F380:J380"/>
    <mergeCell ref="F381:J381"/>
    <mergeCell ref="F650:G650"/>
    <mergeCell ref="F467:I467"/>
    <mergeCell ref="F255:J255"/>
    <mergeCell ref="F281:J281"/>
    <mergeCell ref="F282:J282"/>
    <mergeCell ref="F283:J283"/>
    <mergeCell ref="F284:J284"/>
    <mergeCell ref="H432:I432"/>
    <mergeCell ref="H438:I438"/>
    <mergeCell ref="F445:G445"/>
    <mergeCell ref="H445:I445"/>
    <mergeCell ref="F450:G450"/>
    <mergeCell ref="H450:I450"/>
    <mergeCell ref="F449:G449"/>
    <mergeCell ref="H449:I449"/>
    <mergeCell ref="F442:G442"/>
    <mergeCell ref="H442:I442"/>
    <mergeCell ref="H444:I444"/>
    <mergeCell ref="F452:G452"/>
    <mergeCell ref="F451:G451"/>
    <mergeCell ref="H433:I433"/>
    <mergeCell ref="H431:I431"/>
    <mergeCell ref="F403:J403"/>
    <mergeCell ref="A424:J424"/>
    <mergeCell ref="A421:J421"/>
    <mergeCell ref="D422:J422"/>
    <mergeCell ref="H430:I430"/>
    <mergeCell ref="F439:G439"/>
    <mergeCell ref="H439:I439"/>
    <mergeCell ref="F440:G440"/>
    <mergeCell ref="H440:I440"/>
    <mergeCell ref="F441:G441"/>
    <mergeCell ref="F622:G622"/>
    <mergeCell ref="F448:G448"/>
    <mergeCell ref="H558:I558"/>
    <mergeCell ref="A480:J480"/>
    <mergeCell ref="H655:I655"/>
    <mergeCell ref="H646:I646"/>
    <mergeCell ref="H553:I553"/>
    <mergeCell ref="F474:I474"/>
    <mergeCell ref="F586:G586"/>
    <mergeCell ref="F911:I911"/>
    <mergeCell ref="F916:I916"/>
    <mergeCell ref="A924:I924"/>
    <mergeCell ref="F920:I920"/>
    <mergeCell ref="F900:I900"/>
    <mergeCell ref="F901:I901"/>
    <mergeCell ref="F904:I904"/>
    <mergeCell ref="F906:I906"/>
    <mergeCell ref="F889:I889"/>
    <mergeCell ref="F892:I892"/>
    <mergeCell ref="F894:I894"/>
    <mergeCell ref="F723:I723"/>
    <mergeCell ref="F724:I724"/>
    <mergeCell ref="F725:I725"/>
    <mergeCell ref="F726:I726"/>
    <mergeCell ref="F732:I732"/>
    <mergeCell ref="A733:I733"/>
    <mergeCell ref="F807:G807"/>
    <mergeCell ref="F507:I507"/>
    <mergeCell ref="F508:I508"/>
    <mergeCell ref="A501:I501"/>
    <mergeCell ref="F513:I513"/>
    <mergeCell ref="A636:I636"/>
    <mergeCell ref="F779:I779"/>
    <mergeCell ref="H460:I460"/>
    <mergeCell ref="H458:I458"/>
    <mergeCell ref="H658:I658"/>
    <mergeCell ref="F641:G641"/>
    <mergeCell ref="H641:I641"/>
    <mergeCell ref="F642:G642"/>
    <mergeCell ref="F628:G628"/>
    <mergeCell ref="H624:I624"/>
    <mergeCell ref="A708:J708"/>
    <mergeCell ref="F713:I713"/>
    <mergeCell ref="F873:I873"/>
    <mergeCell ref="F874:I874"/>
    <mergeCell ref="F931:I931"/>
    <mergeCell ref="F954:G954"/>
    <mergeCell ref="F955:G955"/>
    <mergeCell ref="A960:I960"/>
    <mergeCell ref="A944:I944"/>
    <mergeCell ref="A956:I956"/>
    <mergeCell ref="F780:I780"/>
    <mergeCell ref="F781:I781"/>
    <mergeCell ref="F789:I789"/>
    <mergeCell ref="F683:I683"/>
    <mergeCell ref="F869:I869"/>
    <mergeCell ref="F870:I870"/>
    <mergeCell ref="A714:I714"/>
    <mergeCell ref="F689:I689"/>
    <mergeCell ref="F717:I717"/>
    <mergeCell ref="F718:I718"/>
    <mergeCell ref="F868:I868"/>
    <mergeCell ref="F867:I867"/>
    <mergeCell ref="F591:G591"/>
    <mergeCell ref="F600:G600"/>
    <mergeCell ref="A974:I974"/>
    <mergeCell ref="F933:I933"/>
    <mergeCell ref="F934:I934"/>
    <mergeCell ref="F935:I935"/>
    <mergeCell ref="F937:G937"/>
    <mergeCell ref="F938:G938"/>
    <mergeCell ref="F881:I881"/>
    <mergeCell ref="A854:I854"/>
    <mergeCell ref="H805:I805"/>
    <mergeCell ref="F805:G805"/>
    <mergeCell ref="A817:I817"/>
    <mergeCell ref="H637:I637"/>
    <mergeCell ref="F939:G939"/>
    <mergeCell ref="A940:I940"/>
    <mergeCell ref="A879:J879"/>
    <mergeCell ref="F908:I908"/>
    <mergeCell ref="A875:I875"/>
    <mergeCell ref="A872:I872"/>
    <mergeCell ref="A707:I707"/>
    <mergeCell ref="F757:I757"/>
    <mergeCell ref="A680:I680"/>
    <mergeCell ref="A777:I777"/>
    <mergeCell ref="A769:I769"/>
    <mergeCell ref="F778:I778"/>
    <mergeCell ref="H796:I796"/>
    <mergeCell ref="F796:G796"/>
    <mergeCell ref="F843:I843"/>
    <mergeCell ref="F830:I830"/>
    <mergeCell ref="F848:I848"/>
    <mergeCell ref="F849:I849"/>
    <mergeCell ref="H795:I795"/>
    <mergeCell ref="F575:G575"/>
    <mergeCell ref="F775:G775"/>
    <mergeCell ref="H775:I775"/>
    <mergeCell ref="F785:I785"/>
    <mergeCell ref="F788:I788"/>
    <mergeCell ref="H798:I798"/>
    <mergeCell ref="F800:G800"/>
    <mergeCell ref="A531:J531"/>
    <mergeCell ref="A799:I799"/>
    <mergeCell ref="H800:I800"/>
    <mergeCell ref="F784:I784"/>
    <mergeCell ref="F783:I783"/>
    <mergeCell ref="F793:G793"/>
    <mergeCell ref="F794:G794"/>
    <mergeCell ref="H792:I792"/>
    <mergeCell ref="H809:I809"/>
    <mergeCell ref="F803:G803"/>
    <mergeCell ref="H803:I803"/>
    <mergeCell ref="A791:I791"/>
    <mergeCell ref="F792:G792"/>
    <mergeCell ref="H793:I793"/>
    <mergeCell ref="F804:I804"/>
    <mergeCell ref="H794:I794"/>
    <mergeCell ref="H807:I807"/>
    <mergeCell ref="F606:G606"/>
    <mergeCell ref="F607:G607"/>
    <mergeCell ref="F618:G618"/>
    <mergeCell ref="F619:G619"/>
    <mergeCell ref="F612:G612"/>
    <mergeCell ref="H554:I554"/>
    <mergeCell ref="H557:I557"/>
    <mergeCell ref="H599:I599"/>
    <mergeCell ref="H855:I855"/>
    <mergeCell ref="H677:I677"/>
    <mergeCell ref="H678:I678"/>
    <mergeCell ref="F742:I742"/>
    <mergeCell ref="F743:I743"/>
    <mergeCell ref="F587:G587"/>
    <mergeCell ref="A577:I577"/>
    <mergeCell ref="H613:I613"/>
    <mergeCell ref="F634:G634"/>
    <mergeCell ref="F613:G613"/>
    <mergeCell ref="H620:I620"/>
    <mergeCell ref="F841:I841"/>
    <mergeCell ref="F842:I842"/>
    <mergeCell ref="A616:I616"/>
    <mergeCell ref="F720:I720"/>
    <mergeCell ref="F721:I721"/>
    <mergeCell ref="A719:I719"/>
    <mergeCell ref="H600:I600"/>
    <mergeCell ref="F601:G601"/>
    <mergeCell ref="H601:I601"/>
    <mergeCell ref="A597:J597"/>
    <mergeCell ref="F578:G578"/>
    <mergeCell ref="F579:G579"/>
    <mergeCell ref="F585:G585"/>
    <mergeCell ref="F838:I838"/>
    <mergeCell ref="F839:I839"/>
    <mergeCell ref="F840:I840"/>
    <mergeCell ref="F763:I763"/>
    <mergeCell ref="F766:I766"/>
    <mergeCell ref="F767:I767"/>
    <mergeCell ref="F768:I768"/>
    <mergeCell ref="H679:I679"/>
    <mergeCell ref="H664:I664"/>
    <mergeCell ref="F678:G678"/>
    <mergeCell ref="F599:G599"/>
    <mergeCell ref="F259:J259"/>
    <mergeCell ref="F260:J260"/>
    <mergeCell ref="A273:J273"/>
    <mergeCell ref="F220:J220"/>
    <mergeCell ref="F229:J229"/>
    <mergeCell ref="F230:J230"/>
    <mergeCell ref="F231:J231"/>
    <mergeCell ref="F824:I824"/>
    <mergeCell ref="F826:I826"/>
    <mergeCell ref="F829:I829"/>
    <mergeCell ref="F236:J236"/>
    <mergeCell ref="F237:J237"/>
    <mergeCell ref="F238:J238"/>
    <mergeCell ref="F520:I520"/>
    <mergeCell ref="F521:I521"/>
    <mergeCell ref="A574:I574"/>
    <mergeCell ref="F528:I528"/>
    <mergeCell ref="F529:I529"/>
    <mergeCell ref="F664:G664"/>
    <mergeCell ref="H676:I676"/>
    <mergeCell ref="F801:G801"/>
    <mergeCell ref="F640:G640"/>
    <mergeCell ref="A546:J546"/>
    <mergeCell ref="H801:I801"/>
    <mergeCell ref="A813:I813"/>
    <mergeCell ref="F677:G677"/>
    <mergeCell ref="H649:I649"/>
    <mergeCell ref="F588:G588"/>
    <mergeCell ref="F589:G589"/>
    <mergeCell ref="F957:G957"/>
    <mergeCell ref="F958:G958"/>
    <mergeCell ref="F850:I850"/>
    <mergeCell ref="F483:I483"/>
    <mergeCell ref="F782:I782"/>
    <mergeCell ref="A770:J770"/>
    <mergeCell ref="A748:J748"/>
    <mergeCell ref="F902:I902"/>
    <mergeCell ref="F903:I903"/>
    <mergeCell ref="F905:I905"/>
    <mergeCell ref="F919:I919"/>
    <mergeCell ref="F917:I917"/>
    <mergeCell ref="F918:I918"/>
    <mergeCell ref="F876:I876"/>
    <mergeCell ref="F877:I877"/>
    <mergeCell ref="A878:I878"/>
    <mergeCell ref="F806:I806"/>
    <mergeCell ref="F808:I808"/>
    <mergeCell ref="F810:I810"/>
    <mergeCell ref="F815:I815"/>
    <mergeCell ref="F816:I816"/>
    <mergeCell ref="F819:I819"/>
    <mergeCell ref="F822:I822"/>
    <mergeCell ref="F823:G823"/>
    <mergeCell ref="H823:I823"/>
    <mergeCell ref="F831:I831"/>
    <mergeCell ref="F774:G774"/>
    <mergeCell ref="H774:I774"/>
    <mergeCell ref="A502:J502"/>
    <mergeCell ref="A485:J485"/>
    <mergeCell ref="H857:I857"/>
    <mergeCell ref="H860:I860"/>
    <mergeCell ref="A990:J990"/>
    <mergeCell ref="A991:J991"/>
    <mergeCell ref="A992:J992"/>
    <mergeCell ref="A986:I986"/>
    <mergeCell ref="H965:I965"/>
    <mergeCell ref="H966:I966"/>
    <mergeCell ref="H967:I967"/>
    <mergeCell ref="A968:I968"/>
    <mergeCell ref="F832:I832"/>
    <mergeCell ref="F833:I833"/>
    <mergeCell ref="F834:I834"/>
    <mergeCell ref="F836:I836"/>
    <mergeCell ref="F837:I837"/>
    <mergeCell ref="F845:I845"/>
    <mergeCell ref="F846:I846"/>
    <mergeCell ref="F847:I847"/>
    <mergeCell ref="F888:I888"/>
    <mergeCell ref="F961:G961"/>
    <mergeCell ref="H961:I961"/>
    <mergeCell ref="F962:G962"/>
    <mergeCell ref="H962:I962"/>
    <mergeCell ref="F963:G963"/>
    <mergeCell ref="H963:I963"/>
    <mergeCell ref="F945:G945"/>
    <mergeCell ref="F946:G946"/>
    <mergeCell ref="F947:G947"/>
    <mergeCell ref="A948:I948"/>
    <mergeCell ref="A952:I952"/>
    <mergeCell ref="F949:G949"/>
    <mergeCell ref="F950:G950"/>
    <mergeCell ref="F951:G951"/>
    <mergeCell ref="F953:G953"/>
  </mergeCells>
  <phoneticPr fontId="14" type="noConversion"/>
  <pageMargins left="0.18" right="0.13" top="0.39" bottom="0.17" header="0.31496062000000002" footer="0.31496062000000002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7" workbookViewId="0">
      <selection activeCell="A27" sqref="A27:J29"/>
    </sheetView>
  </sheetViews>
  <sheetFormatPr defaultColWidth="21.44140625" defaultRowHeight="14.4" x14ac:dyDescent="0.3"/>
  <cols>
    <col min="2" max="2" width="16.88671875" customWidth="1"/>
    <col min="5" max="5" width="16" customWidth="1"/>
    <col min="6" max="6" width="14.6640625" customWidth="1"/>
    <col min="7" max="7" width="15.88671875" customWidth="1"/>
    <col min="8" max="8" width="15.109375" customWidth="1"/>
    <col min="9" max="9" width="14.6640625" customWidth="1"/>
    <col min="10" max="10" width="15.88671875" customWidth="1"/>
  </cols>
  <sheetData>
    <row r="1" spans="1:10" x14ac:dyDescent="0.3">
      <c r="A1" s="663" t="str">
        <f>ORÇAMENTO!A1</f>
        <v>PREFEITURA MUNICIPAL DE CATALÃO</v>
      </c>
      <c r="B1" s="664"/>
      <c r="C1" s="664"/>
      <c r="D1" s="664"/>
      <c r="E1" s="664"/>
      <c r="F1" s="664"/>
      <c r="G1" s="664"/>
      <c r="H1" s="664"/>
      <c r="I1" s="664"/>
      <c r="J1" s="665"/>
    </row>
    <row r="2" spans="1:10" x14ac:dyDescent="0.3">
      <c r="A2" s="635" t="str">
        <f>ORÇAMENTO!A2</f>
        <v>SECRETARIA MUNICIPAL DE TRANSPORTES</v>
      </c>
      <c r="B2" s="636"/>
      <c r="C2" s="636"/>
      <c r="D2" s="636"/>
      <c r="E2" s="636"/>
      <c r="F2" s="636"/>
      <c r="G2" s="636"/>
      <c r="H2" s="636"/>
      <c r="I2" s="636"/>
      <c r="J2" s="637"/>
    </row>
    <row r="3" spans="1:10" x14ac:dyDescent="0.3">
      <c r="A3" s="635" t="s">
        <v>1232</v>
      </c>
      <c r="B3" s="636"/>
      <c r="C3" s="636"/>
      <c r="D3" s="636"/>
      <c r="E3" s="636"/>
      <c r="F3" s="636"/>
      <c r="G3" s="636"/>
      <c r="H3" s="636"/>
      <c r="I3" s="636"/>
      <c r="J3" s="637"/>
    </row>
    <row r="4" spans="1:10" x14ac:dyDescent="0.3">
      <c r="A4" s="635" t="str">
        <f>ORÇAMENTO!A4</f>
        <v>ARCO VIÁRIO, KM 2, ZONA RURAL, CATALÃO - GO</v>
      </c>
      <c r="B4" s="636"/>
      <c r="C4" s="636"/>
      <c r="D4" s="636"/>
      <c r="E4" s="636"/>
      <c r="F4" s="636"/>
      <c r="G4" s="636"/>
      <c r="H4" s="636"/>
      <c r="I4" s="636"/>
      <c r="J4" s="637"/>
    </row>
    <row r="5" spans="1:10" x14ac:dyDescent="0.3">
      <c r="A5" s="635" t="str">
        <f>ORÇAMENTO!A5</f>
        <v>GOINFRA - TABELA 174 - CUSTOS DE OBRAS CIVIS - JUL/2022 - COM DESENERAÇÃO</v>
      </c>
      <c r="B5" s="636"/>
      <c r="C5" s="636"/>
      <c r="D5" s="636"/>
      <c r="E5" s="636"/>
      <c r="F5" s="636"/>
      <c r="G5" s="636"/>
      <c r="H5" s="636"/>
      <c r="I5" s="636"/>
      <c r="J5" s="637"/>
    </row>
    <row r="6" spans="1:10" x14ac:dyDescent="0.3">
      <c r="A6" s="635" t="str">
        <f>ORÇAMENTO!A6</f>
        <v>SINAPI - JUL/2022 - COMPOSIÇÃO SINTÉTICA - DESONERADA</v>
      </c>
      <c r="B6" s="636"/>
      <c r="C6" s="636"/>
      <c r="D6" s="636"/>
      <c r="E6" s="636"/>
      <c r="F6" s="636"/>
      <c r="G6" s="636"/>
      <c r="H6" s="636"/>
      <c r="I6" s="636"/>
      <c r="J6" s="637"/>
    </row>
    <row r="7" spans="1:10" x14ac:dyDescent="0.3">
      <c r="A7" s="635" t="str">
        <f>ORÇAMENTO!A7</f>
        <v>SINAPI - JUL/2022 - PREÇO DE INSUMOS - DESONERADA</v>
      </c>
      <c r="B7" s="636"/>
      <c r="C7" s="636"/>
      <c r="D7" s="636"/>
      <c r="E7" s="636"/>
      <c r="F7" s="636"/>
      <c r="G7" s="636"/>
      <c r="H7" s="636"/>
      <c r="I7" s="636"/>
      <c r="J7" s="637"/>
    </row>
    <row r="8" spans="1:10" x14ac:dyDescent="0.3">
      <c r="A8" s="635" t="str">
        <f>ORÇAMENTO!A8</f>
        <v>GOINFRA - TABELA T77 - TERRAPLENAGEM, PAVIMENTAÇÃO E OBRAS DE ARTE ESPECIAIS - JUL/22 - COM DESONERAÇÃO</v>
      </c>
      <c r="B8" s="636"/>
      <c r="C8" s="636"/>
      <c r="D8" s="636"/>
      <c r="E8" s="636"/>
      <c r="F8" s="636"/>
      <c r="G8" s="636"/>
      <c r="H8" s="636"/>
      <c r="I8" s="636"/>
      <c r="J8" s="637"/>
    </row>
    <row r="9" spans="1:10" x14ac:dyDescent="0.3">
      <c r="A9" s="635"/>
      <c r="B9" s="636"/>
      <c r="C9" s="636"/>
      <c r="D9" s="636"/>
      <c r="E9" s="636"/>
      <c r="F9" s="636"/>
      <c r="G9" s="636"/>
      <c r="H9" s="636"/>
      <c r="I9" s="636"/>
      <c r="J9" s="637"/>
    </row>
    <row r="10" spans="1:10" ht="15" thickBot="1" x14ac:dyDescent="0.35">
      <c r="A10" s="635" t="str">
        <f>ORÇAMENTO!A12</f>
        <v>CATALÃO 20/07/2022</v>
      </c>
      <c r="B10" s="636"/>
      <c r="C10" s="636"/>
      <c r="D10" s="636"/>
      <c r="E10" s="636"/>
      <c r="F10" s="636"/>
      <c r="G10" s="636"/>
      <c r="H10" s="636"/>
      <c r="I10" s="636"/>
      <c r="J10" s="637"/>
    </row>
    <row r="11" spans="1:10" ht="15" thickBot="1" x14ac:dyDescent="0.35">
      <c r="A11" s="686" t="s">
        <v>1297</v>
      </c>
      <c r="B11" s="687"/>
      <c r="C11" s="687"/>
      <c r="D11" s="687"/>
      <c r="E11" s="687"/>
      <c r="F11" s="687"/>
      <c r="G11" s="687"/>
      <c r="H11" s="687"/>
      <c r="I11" s="687"/>
      <c r="J11" s="688"/>
    </row>
    <row r="12" spans="1:10" x14ac:dyDescent="0.3">
      <c r="A12" s="341" t="s">
        <v>574</v>
      </c>
      <c r="B12" s="342" t="s">
        <v>575</v>
      </c>
      <c r="C12" s="343" t="s">
        <v>576</v>
      </c>
      <c r="D12" s="343" t="s">
        <v>577</v>
      </c>
      <c r="E12" s="343" t="s">
        <v>578</v>
      </c>
      <c r="F12" s="343" t="s">
        <v>579</v>
      </c>
      <c r="G12" s="343" t="s">
        <v>580</v>
      </c>
      <c r="H12" s="343" t="s">
        <v>581</v>
      </c>
      <c r="I12" s="343" t="s">
        <v>582</v>
      </c>
      <c r="J12" s="344" t="s">
        <v>583</v>
      </c>
    </row>
    <row r="13" spans="1:10" ht="15" thickBot="1" x14ac:dyDescent="0.35">
      <c r="A13" s="146">
        <v>3.67</v>
      </c>
      <c r="B13" s="147">
        <v>7.3</v>
      </c>
      <c r="C13" s="147">
        <v>0.97</v>
      </c>
      <c r="D13" s="147">
        <v>0.11</v>
      </c>
      <c r="E13" s="147">
        <v>0.56000000000000005</v>
      </c>
      <c r="F13" s="147">
        <v>2.5</v>
      </c>
      <c r="G13" s="147">
        <v>0.65</v>
      </c>
      <c r="H13" s="147">
        <v>3</v>
      </c>
      <c r="I13" s="147">
        <v>4.5</v>
      </c>
      <c r="J13" s="148">
        <v>26.51</v>
      </c>
    </row>
    <row r="14" spans="1:10" ht="15" thickBot="1" x14ac:dyDescent="0.35">
      <c r="A14" s="411"/>
      <c r="B14" s="412"/>
      <c r="C14" s="412"/>
      <c r="D14" s="412"/>
      <c r="E14" s="412"/>
      <c r="F14" s="412"/>
      <c r="G14" s="412"/>
      <c r="H14" s="412"/>
      <c r="I14" s="412"/>
      <c r="J14" s="413"/>
    </row>
    <row r="15" spans="1:10" ht="15" thickBot="1" x14ac:dyDescent="0.35">
      <c r="A15" s="686" t="s">
        <v>1296</v>
      </c>
      <c r="B15" s="687"/>
      <c r="C15" s="687"/>
      <c r="D15" s="687"/>
      <c r="E15" s="687"/>
      <c r="F15" s="687"/>
      <c r="G15" s="687"/>
      <c r="H15" s="687"/>
      <c r="I15" s="687"/>
      <c r="J15" s="688"/>
    </row>
    <row r="16" spans="1:10" x14ac:dyDescent="0.3">
      <c r="A16" s="341" t="s">
        <v>574</v>
      </c>
      <c r="B16" s="342" t="s">
        <v>575</v>
      </c>
      <c r="C16" s="343" t="s">
        <v>576</v>
      </c>
      <c r="D16" s="343" t="s">
        <v>577</v>
      </c>
      <c r="E16" s="343" t="s">
        <v>578</v>
      </c>
      <c r="F16" s="343" t="s">
        <v>579</v>
      </c>
      <c r="G16" s="343" t="s">
        <v>580</v>
      </c>
      <c r="H16" s="343" t="s">
        <v>581</v>
      </c>
      <c r="I16" s="343" t="s">
        <v>582</v>
      </c>
      <c r="J16" s="344" t="s">
        <v>583</v>
      </c>
    </row>
    <row r="17" spans="1:10" ht="15" thickBot="1" x14ac:dyDescent="0.35">
      <c r="A17" s="146">
        <v>2.2000000000000002</v>
      </c>
      <c r="B17" s="147">
        <v>4.38</v>
      </c>
      <c r="C17" s="147">
        <v>0.57999999999999996</v>
      </c>
      <c r="D17" s="147">
        <v>0.05</v>
      </c>
      <c r="E17" s="147">
        <v>0.33</v>
      </c>
      <c r="F17" s="147">
        <v>0</v>
      </c>
      <c r="G17" s="147">
        <v>0.65</v>
      </c>
      <c r="H17" s="147">
        <v>3</v>
      </c>
      <c r="I17" s="147">
        <v>4.5</v>
      </c>
      <c r="J17" s="148">
        <v>17.239999999999998</v>
      </c>
    </row>
    <row r="18" spans="1:10" ht="15" thickBot="1" x14ac:dyDescent="0.35">
      <c r="A18" s="411"/>
      <c r="B18" s="412"/>
      <c r="C18" s="412"/>
      <c r="D18" s="412"/>
      <c r="E18" s="412"/>
      <c r="F18" s="412"/>
      <c r="G18" s="412"/>
      <c r="H18" s="412"/>
      <c r="I18" s="412"/>
      <c r="J18" s="413"/>
    </row>
    <row r="19" spans="1:10" ht="15" thickBot="1" x14ac:dyDescent="0.35">
      <c r="A19" s="686" t="s">
        <v>1298</v>
      </c>
      <c r="B19" s="687"/>
      <c r="C19" s="687"/>
      <c r="D19" s="687"/>
      <c r="E19" s="687"/>
      <c r="F19" s="687"/>
      <c r="G19" s="687"/>
      <c r="H19" s="687"/>
      <c r="I19" s="687"/>
      <c r="J19" s="688"/>
    </row>
    <row r="20" spans="1:10" x14ac:dyDescent="0.3">
      <c r="A20" s="341" t="s">
        <v>574</v>
      </c>
      <c r="B20" s="342" t="s">
        <v>575</v>
      </c>
      <c r="C20" s="343" t="s">
        <v>576</v>
      </c>
      <c r="D20" s="343" t="s">
        <v>577</v>
      </c>
      <c r="E20" s="343" t="s">
        <v>578</v>
      </c>
      <c r="F20" s="343" t="s">
        <v>579</v>
      </c>
      <c r="G20" s="343" t="s">
        <v>580</v>
      </c>
      <c r="H20" s="343" t="s">
        <v>581</v>
      </c>
      <c r="I20" s="343" t="s">
        <v>582</v>
      </c>
      <c r="J20" s="344" t="s">
        <v>583</v>
      </c>
    </row>
    <row r="21" spans="1:10" ht="15" thickBot="1" x14ac:dyDescent="0.35">
      <c r="A21" s="146">
        <v>3</v>
      </c>
      <c r="B21" s="147">
        <v>6.16</v>
      </c>
      <c r="C21" s="147">
        <v>0.28000000000000003</v>
      </c>
      <c r="D21" s="147">
        <v>0.12</v>
      </c>
      <c r="E21" s="147">
        <v>0.97</v>
      </c>
      <c r="F21" s="147">
        <v>2.4</v>
      </c>
      <c r="G21" s="147">
        <v>0.65</v>
      </c>
      <c r="H21" s="147">
        <v>3</v>
      </c>
      <c r="I21" s="147">
        <v>4.5</v>
      </c>
      <c r="J21" s="148">
        <v>23.88</v>
      </c>
    </row>
    <row r="22" spans="1:10" x14ac:dyDescent="0.3">
      <c r="A22" s="411"/>
      <c r="B22" s="412"/>
      <c r="C22" s="412"/>
      <c r="D22" s="412"/>
      <c r="E22" s="412"/>
      <c r="F22" s="412"/>
      <c r="G22" s="412"/>
      <c r="H22" s="412"/>
      <c r="I22" s="412"/>
      <c r="J22" s="413"/>
    </row>
    <row r="23" spans="1:10" x14ac:dyDescent="0.3">
      <c r="A23" s="149" t="s">
        <v>584</v>
      </c>
      <c r="J23" s="103"/>
    </row>
    <row r="24" spans="1:10" x14ac:dyDescent="0.3">
      <c r="A24" s="81"/>
      <c r="B24" s="70"/>
      <c r="C24" s="70"/>
      <c r="E24" s="1"/>
      <c r="F24" s="82"/>
      <c r="G24" s="83"/>
      <c r="H24" s="100"/>
      <c r="J24" s="103"/>
    </row>
    <row r="25" spans="1:10" x14ac:dyDescent="0.3">
      <c r="A25" s="81"/>
      <c r="B25" s="70"/>
      <c r="C25" s="1"/>
      <c r="E25" s="1"/>
      <c r="F25" s="1"/>
      <c r="G25" s="83"/>
      <c r="H25" s="100"/>
      <c r="I25" s="1"/>
      <c r="J25" s="103"/>
    </row>
    <row r="26" spans="1:10" x14ac:dyDescent="0.3">
      <c r="A26" s="81"/>
      <c r="B26" s="70"/>
      <c r="C26" s="86"/>
      <c r="E26" s="1"/>
      <c r="F26" s="86"/>
      <c r="G26" s="83"/>
      <c r="H26" s="100"/>
      <c r="I26" s="86"/>
      <c r="J26" s="103"/>
    </row>
    <row r="27" spans="1:10" ht="14.4" customHeight="1" x14ac:dyDescent="0.3">
      <c r="A27" s="481" t="s">
        <v>753</v>
      </c>
      <c r="B27" s="557"/>
      <c r="C27" s="557"/>
      <c r="D27" s="557"/>
      <c r="E27" s="557"/>
      <c r="F27" s="557"/>
      <c r="G27" s="557"/>
      <c r="H27" s="557"/>
      <c r="I27" s="557"/>
      <c r="J27" s="483"/>
    </row>
    <row r="28" spans="1:10" ht="14.4" customHeight="1" x14ac:dyDescent="0.3">
      <c r="A28" s="484" t="s">
        <v>1311</v>
      </c>
      <c r="B28" s="558"/>
      <c r="C28" s="558"/>
      <c r="D28" s="558"/>
      <c r="E28" s="558"/>
      <c r="F28" s="558"/>
      <c r="G28" s="558"/>
      <c r="H28" s="558"/>
      <c r="I28" s="558"/>
      <c r="J28" s="486"/>
    </row>
    <row r="29" spans="1:10" ht="14.4" customHeight="1" x14ac:dyDescent="0.3">
      <c r="A29" s="484" t="s">
        <v>1312</v>
      </c>
      <c r="B29" s="558"/>
      <c r="C29" s="558"/>
      <c r="D29" s="558"/>
      <c r="E29" s="558"/>
      <c r="F29" s="558"/>
      <c r="G29" s="558"/>
      <c r="H29" s="558"/>
      <c r="I29" s="558"/>
      <c r="J29" s="486"/>
    </row>
    <row r="30" spans="1:10" x14ac:dyDescent="0.3">
      <c r="A30" s="81"/>
      <c r="B30" s="88"/>
      <c r="C30" s="689"/>
      <c r="D30" s="689"/>
      <c r="E30" s="689"/>
      <c r="F30" s="689"/>
      <c r="G30" s="689"/>
      <c r="H30" s="99"/>
      <c r="J30" s="103"/>
    </row>
    <row r="31" spans="1:10" x14ac:dyDescent="0.3">
      <c r="A31" s="87" t="s">
        <v>466</v>
      </c>
      <c r="B31" s="88"/>
      <c r="C31" s="86"/>
      <c r="E31" s="1"/>
      <c r="F31" s="86"/>
      <c r="G31" s="88"/>
      <c r="H31" s="99"/>
      <c r="J31" s="103"/>
    </row>
    <row r="32" spans="1:10" x14ac:dyDescent="0.3">
      <c r="A32" s="91"/>
      <c r="B32" s="86"/>
      <c r="C32" s="86"/>
      <c r="E32" s="1"/>
      <c r="F32" s="86"/>
      <c r="G32" s="86"/>
      <c r="H32" s="99"/>
      <c r="J32" s="103"/>
    </row>
    <row r="33" spans="1:10" ht="15" thickBot="1" x14ac:dyDescent="0.35">
      <c r="A33" s="93"/>
      <c r="B33" s="94"/>
      <c r="C33" s="94"/>
      <c r="D33" s="95"/>
      <c r="E33" s="94"/>
      <c r="F33" s="94"/>
      <c r="G33" s="94"/>
      <c r="H33" s="104"/>
      <c r="I33" s="105"/>
      <c r="J33" s="106"/>
    </row>
  </sheetData>
  <mergeCells count="17">
    <mergeCell ref="A19:J19"/>
    <mergeCell ref="C30:G30"/>
    <mergeCell ref="A27:J27"/>
    <mergeCell ref="A28:J28"/>
    <mergeCell ref="A29:J29"/>
    <mergeCell ref="A1:J1"/>
    <mergeCell ref="A2:J2"/>
    <mergeCell ref="A3:J3"/>
    <mergeCell ref="A4:J4"/>
    <mergeCell ref="A5:J5"/>
    <mergeCell ref="A15:J15"/>
    <mergeCell ref="A11:J11"/>
    <mergeCell ref="A6:J6"/>
    <mergeCell ref="A7:J7"/>
    <mergeCell ref="A8:J8"/>
    <mergeCell ref="A9:J9"/>
    <mergeCell ref="A10:J10"/>
  </mergeCells>
  <pageMargins left="0.51181102362204722" right="0.51181102362204722" top="0.78740157480314965" bottom="0.78740157480314965" header="0.31496062992125984" footer="0.31496062992125984"/>
  <pageSetup paperSize="9" scale="7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34" zoomScale="70" zoomScaleNormal="70" workbookViewId="0">
      <selection activeCell="A46" sqref="A46:P46"/>
    </sheetView>
  </sheetViews>
  <sheetFormatPr defaultRowHeight="14.4" x14ac:dyDescent="0.3"/>
  <cols>
    <col min="2" max="2" width="41.6640625" customWidth="1"/>
    <col min="3" max="7" width="15.33203125" bestFit="1" customWidth="1"/>
    <col min="8" max="8" width="15.33203125" customWidth="1"/>
    <col min="9" max="9" width="15.33203125" bestFit="1" customWidth="1"/>
    <col min="10" max="10" width="15.33203125" customWidth="1"/>
    <col min="11" max="11" width="15.33203125" bestFit="1" customWidth="1"/>
    <col min="12" max="12" width="15.33203125" customWidth="1"/>
    <col min="13" max="14" width="15.33203125" bestFit="1" customWidth="1"/>
    <col min="15" max="15" width="14.88671875" bestFit="1" customWidth="1"/>
    <col min="16" max="16" width="15.33203125" customWidth="1"/>
  </cols>
  <sheetData>
    <row r="1" spans="1:17" x14ac:dyDescent="0.3">
      <c r="A1" s="663" t="str">
        <f>ORÇAMENTO!A1</f>
        <v>PREFEITURA MUNICIPAL DE CATALÃO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5"/>
    </row>
    <row r="2" spans="1:17" x14ac:dyDescent="0.3">
      <c r="A2" s="635" t="str">
        <f>ORÇAMENTO!A2</f>
        <v>SECRETARIA MUNICIPAL DE TRANSPORTES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37"/>
    </row>
    <row r="3" spans="1:17" x14ac:dyDescent="0.3">
      <c r="A3" s="635" t="s">
        <v>1230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37"/>
    </row>
    <row r="4" spans="1:17" x14ac:dyDescent="0.3">
      <c r="A4" s="635" t="str">
        <f>ORÇAMENTO!A4</f>
        <v>ARCO VIÁRIO, KM 2, ZONA RURAL, CATALÃO - GO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37"/>
    </row>
    <row r="5" spans="1:17" x14ac:dyDescent="0.3">
      <c r="A5" s="635" t="str">
        <f>ORÇAMENTO!A5</f>
        <v>GOINFRA - TABELA 174 - CUSTOS DE OBRAS CIVIS - JUL/2022 - COM DESENERAÇÃO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37"/>
    </row>
    <row r="6" spans="1:17" x14ac:dyDescent="0.3">
      <c r="A6" s="635" t="str">
        <f>ORÇAMENTO!A6</f>
        <v>SINAPI - JUL/2022 - COMPOSIÇÃO SINTÉTICA - DESONERADA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37"/>
    </row>
    <row r="7" spans="1:17" x14ac:dyDescent="0.3">
      <c r="A7" s="635" t="str">
        <f>ORÇAMENTO!A7</f>
        <v>SINAPI - JUL/2022 - PREÇO DE INSUMOS - DESONERADA</v>
      </c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37"/>
    </row>
    <row r="8" spans="1:17" x14ac:dyDescent="0.3">
      <c r="A8" s="635" t="str">
        <f>ORÇAMENTO!A8</f>
        <v>GOINFRA - TABELA T77 - TERRAPLENAGEM, PAVIMENTAÇÃO E OBRAS DE ARTE ESPECIAIS - JUL/22 - COM DESONERAÇÃO</v>
      </c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37"/>
    </row>
    <row r="9" spans="1:17" x14ac:dyDescent="0.3">
      <c r="A9" s="5"/>
      <c r="B9" s="464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373"/>
    </row>
    <row r="10" spans="1:17" ht="15" thickBot="1" x14ac:dyDescent="0.35">
      <c r="A10" s="433"/>
      <c r="B10" s="434"/>
      <c r="C10" s="697" t="str">
        <f>ORÇAMENTO!A12</f>
        <v>CATALÃO 20/07/2022</v>
      </c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9"/>
    </row>
    <row r="11" spans="1:17" ht="29.4" thickBot="1" x14ac:dyDescent="0.35">
      <c r="A11" s="428" t="s">
        <v>1</v>
      </c>
      <c r="B11" s="429" t="s">
        <v>467</v>
      </c>
      <c r="C11" s="428" t="s">
        <v>468</v>
      </c>
      <c r="D11" s="428" t="s">
        <v>469</v>
      </c>
      <c r="E11" s="428" t="s">
        <v>470</v>
      </c>
      <c r="F11" s="428" t="s">
        <v>471</v>
      </c>
      <c r="G11" s="428" t="s">
        <v>472</v>
      </c>
      <c r="H11" s="430" t="s">
        <v>473</v>
      </c>
      <c r="I11" s="428" t="s">
        <v>480</v>
      </c>
      <c r="J11" s="428" t="s">
        <v>481</v>
      </c>
      <c r="K11" s="428" t="s">
        <v>482</v>
      </c>
      <c r="L11" s="428" t="s">
        <v>483</v>
      </c>
      <c r="M11" s="428" t="s">
        <v>484</v>
      </c>
      <c r="N11" s="428" t="s">
        <v>485</v>
      </c>
      <c r="O11" s="431" t="s">
        <v>474</v>
      </c>
      <c r="P11" s="432" t="s">
        <v>475</v>
      </c>
    </row>
    <row r="12" spans="1:17" ht="28.8" x14ac:dyDescent="0.3">
      <c r="A12" s="466">
        <v>1</v>
      </c>
      <c r="B12" s="345" t="str">
        <f>ORÇAMENTO!A14</f>
        <v xml:space="preserve">GRUPO DE SERVIÇO: 164- SERVIÇOS PRELIMINARES </v>
      </c>
      <c r="C12" s="348">
        <v>0.8</v>
      </c>
      <c r="D12" s="23"/>
      <c r="E12" s="23"/>
      <c r="F12" s="23"/>
      <c r="G12" s="23"/>
      <c r="H12" s="23"/>
      <c r="I12" s="27">
        <v>0.2</v>
      </c>
      <c r="J12" s="23"/>
      <c r="K12" s="23"/>
      <c r="L12" s="23"/>
      <c r="M12" s="23"/>
      <c r="N12" s="23"/>
      <c r="O12" s="24">
        <f>ORÇAMENTO!K18</f>
        <v>5296.0706855999997</v>
      </c>
      <c r="P12" s="118">
        <f t="shared" ref="P12:P36" si="0">O12/$O$37</f>
        <v>5.3068774498191498E-4</v>
      </c>
      <c r="Q12" s="25"/>
    </row>
    <row r="13" spans="1:17" x14ac:dyDescent="0.3">
      <c r="A13" s="119">
        <v>2</v>
      </c>
      <c r="B13" s="346" t="str">
        <f>ORÇAMENTO!A19</f>
        <v xml:space="preserve">GRUPO DE SERVIÇO: 165- TRANSPORTES </v>
      </c>
      <c r="C13" s="349">
        <v>0.1</v>
      </c>
      <c r="D13" s="28">
        <v>0.1</v>
      </c>
      <c r="E13" s="28">
        <v>0.1</v>
      </c>
      <c r="F13" s="28">
        <v>0.1</v>
      </c>
      <c r="G13" s="28">
        <f>0.6/8</f>
        <v>7.4999999999999997E-2</v>
      </c>
      <c r="H13" s="28">
        <f t="shared" ref="H13:N13" si="1">0.6/8</f>
        <v>7.4999999999999997E-2</v>
      </c>
      <c r="I13" s="28">
        <f t="shared" si="1"/>
        <v>7.4999999999999997E-2</v>
      </c>
      <c r="J13" s="28">
        <f t="shared" si="1"/>
        <v>7.4999999999999997E-2</v>
      </c>
      <c r="K13" s="28">
        <f t="shared" si="1"/>
        <v>7.4999999999999997E-2</v>
      </c>
      <c r="L13" s="28">
        <f t="shared" si="1"/>
        <v>7.4999999999999997E-2</v>
      </c>
      <c r="M13" s="28">
        <f t="shared" si="1"/>
        <v>7.4999999999999997E-2</v>
      </c>
      <c r="N13" s="28">
        <f t="shared" si="1"/>
        <v>7.4999999999999997E-2</v>
      </c>
      <c r="O13" s="11">
        <f>ORÇAMENTO!K23</f>
        <v>115293.718336288</v>
      </c>
      <c r="P13" s="120">
        <f t="shared" si="0"/>
        <v>1.1552897804182727E-2</v>
      </c>
      <c r="Q13" s="25"/>
    </row>
    <row r="14" spans="1:17" ht="18" customHeight="1" x14ac:dyDescent="0.3">
      <c r="A14" s="119">
        <v>3</v>
      </c>
      <c r="B14" s="347" t="str">
        <f>ORÇAMENTO!A24</f>
        <v>GRUPO DE SERVIÇO: 166- SERVIÇOS EM TERRA</v>
      </c>
      <c r="C14" s="349">
        <v>0.3</v>
      </c>
      <c r="D14" s="28">
        <v>0.6</v>
      </c>
      <c r="E14" s="28">
        <v>0.1</v>
      </c>
      <c r="F14" s="9"/>
      <c r="G14" s="9"/>
      <c r="H14" s="9"/>
      <c r="I14" s="9"/>
      <c r="J14" s="9"/>
      <c r="K14" s="9"/>
      <c r="L14" s="9"/>
      <c r="M14" s="9"/>
      <c r="N14" s="9"/>
      <c r="O14" s="11">
        <f>ORÇAMENTO!K30</f>
        <v>257717.29900759898</v>
      </c>
      <c r="P14" s="120">
        <f t="shared" si="0"/>
        <v>2.5824317757888467E-2</v>
      </c>
      <c r="Q14" s="25"/>
    </row>
    <row r="15" spans="1:17" ht="28.8" x14ac:dyDescent="0.3">
      <c r="A15" s="119">
        <v>4</v>
      </c>
      <c r="B15" s="26" t="str">
        <f>ORÇAMENTO!A31</f>
        <v xml:space="preserve">GRUPO DE SERVIÇO: 167- FUNDAÇOES E SONDAGENS </v>
      </c>
      <c r="C15" s="349">
        <v>0.3</v>
      </c>
      <c r="D15" s="28">
        <v>0.6</v>
      </c>
      <c r="E15" s="28">
        <v>0.1</v>
      </c>
      <c r="F15" s="9"/>
      <c r="G15" s="9"/>
      <c r="H15" s="9"/>
      <c r="I15" s="9"/>
      <c r="J15" s="9"/>
      <c r="K15" s="9"/>
      <c r="L15" s="9"/>
      <c r="M15" s="9"/>
      <c r="N15" s="9"/>
      <c r="O15" s="11">
        <f>ORÇAMENTO!K45</f>
        <v>238931.37030662398</v>
      </c>
      <c r="P15" s="120">
        <f t="shared" si="0"/>
        <v>2.3941891572222481E-2</v>
      </c>
      <c r="Q15" s="25"/>
    </row>
    <row r="16" spans="1:17" x14ac:dyDescent="0.3">
      <c r="A16" s="119">
        <v>5</v>
      </c>
      <c r="B16" s="26" t="str">
        <f>ORÇAMENTO!A46</f>
        <v xml:space="preserve">GRUPO DE SERVIÇO: 168- ESTRUTURA </v>
      </c>
      <c r="C16" s="350"/>
      <c r="D16" s="28">
        <v>0.3</v>
      </c>
      <c r="E16" s="28">
        <v>0.3</v>
      </c>
      <c r="F16" s="28">
        <v>0.4</v>
      </c>
      <c r="G16" s="9"/>
      <c r="H16" s="9"/>
      <c r="I16" s="9"/>
      <c r="J16" s="9"/>
      <c r="K16" s="9"/>
      <c r="L16" s="9"/>
      <c r="M16" s="9"/>
      <c r="N16" s="9"/>
      <c r="O16" s="11">
        <f>ORÇAMENTO!K60</f>
        <v>363805.66303864954</v>
      </c>
      <c r="P16" s="120">
        <f t="shared" si="0"/>
        <v>3.6454801756060487E-2</v>
      </c>
      <c r="Q16" s="25"/>
    </row>
    <row r="17" spans="1:17" ht="43.2" x14ac:dyDescent="0.3">
      <c r="A17" s="119">
        <v>6</v>
      </c>
      <c r="B17" s="26" t="str">
        <f>ORÇAMENTO!A61</f>
        <v>GRUPO DE SERVIÇO: 169- INST. ELÉT./TELEFÔNICA/CABEAMENTO ESTRUTURADO</v>
      </c>
      <c r="C17" s="350"/>
      <c r="D17" s="9"/>
      <c r="E17" s="9"/>
      <c r="F17" s="9"/>
      <c r="G17" s="28">
        <v>0.3</v>
      </c>
      <c r="H17" s="28">
        <v>0.3</v>
      </c>
      <c r="I17" s="28">
        <v>0.2</v>
      </c>
      <c r="J17" s="28">
        <v>0.2</v>
      </c>
      <c r="K17" s="9"/>
      <c r="L17" s="9"/>
      <c r="M17" s="9"/>
      <c r="N17" s="9"/>
      <c r="O17" s="11">
        <f>ORÇAMENTO!K137</f>
        <v>417773.00491000002</v>
      </c>
      <c r="P17" s="120">
        <f t="shared" si="0"/>
        <v>4.1862548113798241E-2</v>
      </c>
      <c r="Q17" s="25"/>
    </row>
    <row r="18" spans="1:17" ht="28.8" x14ac:dyDescent="0.3">
      <c r="A18" s="119">
        <v>7</v>
      </c>
      <c r="B18" s="26" t="str">
        <f>ORÇAMENTO!A138</f>
        <v>GRUPO DE SERVIÇO: 170- INSTALAÇÕES HIDRO-SANITÁRIAS</v>
      </c>
      <c r="C18" s="350"/>
      <c r="D18" s="9"/>
      <c r="E18" s="9"/>
      <c r="F18" s="9"/>
      <c r="G18" s="9"/>
      <c r="H18" s="28">
        <v>0.3</v>
      </c>
      <c r="I18" s="28">
        <v>0.3</v>
      </c>
      <c r="J18" s="28">
        <v>0.2</v>
      </c>
      <c r="K18" s="9"/>
      <c r="L18" s="9"/>
      <c r="M18" s="28">
        <v>0.2</v>
      </c>
      <c r="N18" s="9"/>
      <c r="O18" s="11">
        <f>ORÇAMENTO!K286</f>
        <v>239701.74692588794</v>
      </c>
      <c r="P18" s="120">
        <f t="shared" si="0"/>
        <v>2.4019086431417921E-2</v>
      </c>
      <c r="Q18" s="25"/>
    </row>
    <row r="19" spans="1:17" ht="28.8" x14ac:dyDescent="0.3">
      <c r="A19" s="119">
        <v>8</v>
      </c>
      <c r="B19" s="26" t="str">
        <f>ORÇAMENTO!A287</f>
        <v>GRUPO DE SERVIÇO: 171 - INSTALAÇÕES ESPECIAIS</v>
      </c>
      <c r="C19" s="350"/>
      <c r="D19" s="9"/>
      <c r="E19" s="9"/>
      <c r="F19" s="9"/>
      <c r="G19" s="9"/>
      <c r="H19" s="9"/>
      <c r="I19" s="9"/>
      <c r="J19" s="9"/>
      <c r="K19" s="9"/>
      <c r="L19" s="9"/>
      <c r="M19" s="28">
        <v>1</v>
      </c>
      <c r="N19" s="9"/>
      <c r="O19" s="11">
        <f>ORÇAMENTO!K290</f>
        <v>18393.900608</v>
      </c>
      <c r="P19" s="120">
        <f t="shared" si="0"/>
        <v>1.8431433820591293E-3</v>
      </c>
      <c r="Q19" s="25"/>
    </row>
    <row r="20" spans="1:17" ht="28.8" x14ac:dyDescent="0.3">
      <c r="A20" s="119">
        <v>9</v>
      </c>
      <c r="B20" s="26" t="str">
        <f>ORÇAMENTO!A291</f>
        <v>GRUPO DE SERVIÇO: 172- ALVENARIAS E DIVISÓRIAS</v>
      </c>
      <c r="C20" s="350"/>
      <c r="D20" s="9"/>
      <c r="E20" s="28">
        <v>0.25</v>
      </c>
      <c r="F20" s="28">
        <v>0.3</v>
      </c>
      <c r="G20" s="28">
        <v>0.3</v>
      </c>
      <c r="H20" s="28">
        <v>0.15</v>
      </c>
      <c r="I20" s="9"/>
      <c r="J20" s="9"/>
      <c r="K20" s="9"/>
      <c r="L20" s="9"/>
      <c r="M20" s="9"/>
      <c r="N20" s="9"/>
      <c r="O20" s="11">
        <f>ORÇAMENTO!K295</f>
        <v>1246032.0824079898</v>
      </c>
      <c r="P20" s="120">
        <f t="shared" si="0"/>
        <v>0.12485746419249337</v>
      </c>
      <c r="Q20" s="25"/>
    </row>
    <row r="21" spans="1:17" ht="18" customHeight="1" x14ac:dyDescent="0.3">
      <c r="A21" s="119">
        <v>10</v>
      </c>
      <c r="B21" s="26" t="str">
        <f>ORÇAMENTO!A296</f>
        <v xml:space="preserve">GRUPO DE SERVIÇO: 174- IMPERMEABILIZAÇÃO </v>
      </c>
      <c r="C21" s="350"/>
      <c r="D21" s="28">
        <v>0.3</v>
      </c>
      <c r="E21" s="9"/>
      <c r="F21" s="9"/>
      <c r="G21" s="28">
        <v>0.7</v>
      </c>
      <c r="H21" s="9"/>
      <c r="I21" s="9"/>
      <c r="J21" s="9"/>
      <c r="K21" s="9"/>
      <c r="L21" s="9"/>
      <c r="M21" s="9"/>
      <c r="N21" s="9"/>
      <c r="O21" s="11">
        <f>ORÇAMENTO!K301</f>
        <v>34456.234324580801</v>
      </c>
      <c r="P21" s="120">
        <f t="shared" si="0"/>
        <v>3.4526543129415675E-3</v>
      </c>
      <c r="Q21" s="25"/>
    </row>
    <row r="22" spans="1:17" ht="28.8" x14ac:dyDescent="0.3">
      <c r="A22" s="119">
        <v>11</v>
      </c>
      <c r="B22" s="26" t="str">
        <f>ORÇAMENTO!A302</f>
        <v>GRUPO DE SERVIÇO: 176- ESTRUTURA DE MADEIRA</v>
      </c>
      <c r="C22" s="350"/>
      <c r="D22" s="9"/>
      <c r="E22" s="9"/>
      <c r="F22" s="9"/>
      <c r="G22" s="9"/>
      <c r="H22" s="9"/>
      <c r="I22" s="9"/>
      <c r="J22" s="28">
        <v>1</v>
      </c>
      <c r="K22" s="9"/>
      <c r="L22" s="9"/>
      <c r="M22" s="9"/>
      <c r="N22" s="9"/>
      <c r="O22" s="11">
        <f>ORÇAMENTO!K305</f>
        <v>9500.6748283199995</v>
      </c>
      <c r="P22" s="120">
        <f t="shared" si="0"/>
        <v>9.5200611920767436E-4</v>
      </c>
      <c r="Q22" s="25"/>
    </row>
    <row r="23" spans="1:17" ht="28.8" x14ac:dyDescent="0.3">
      <c r="A23" s="119">
        <v>12</v>
      </c>
      <c r="B23" s="26" t="str">
        <f>ORÇAMENTO!A306</f>
        <v>GRUPO DE SERVIÇO: 177 - ESTRUTURAS METÁLICAS</v>
      </c>
      <c r="C23" s="350"/>
      <c r="D23" s="9"/>
      <c r="E23" s="9"/>
      <c r="F23" s="9"/>
      <c r="G23" s="9"/>
      <c r="H23" s="28">
        <v>0.4</v>
      </c>
      <c r="I23" s="28">
        <v>0.4</v>
      </c>
      <c r="J23" s="28">
        <v>0.2</v>
      </c>
      <c r="K23" s="9"/>
      <c r="L23" s="9"/>
      <c r="M23" s="9"/>
      <c r="N23" s="9"/>
      <c r="O23" s="11">
        <f>ORÇAMENTO!K312</f>
        <v>1460330.7192458413</v>
      </c>
      <c r="P23" s="120">
        <f t="shared" si="0"/>
        <v>0.14633105604718621</v>
      </c>
      <c r="Q23" s="25"/>
    </row>
    <row r="24" spans="1:17" x14ac:dyDescent="0.3">
      <c r="A24" s="119">
        <v>13</v>
      </c>
      <c r="B24" s="26" t="str">
        <f>ORÇAMENTO!A313</f>
        <v>GRUPO DE SERVIÇO: 178- COBERTURAS</v>
      </c>
      <c r="C24" s="350"/>
      <c r="D24" s="9"/>
      <c r="E24" s="9"/>
      <c r="F24" s="9"/>
      <c r="G24" s="9"/>
      <c r="H24" s="9"/>
      <c r="I24" s="9"/>
      <c r="J24" s="28">
        <v>0.3</v>
      </c>
      <c r="K24" s="9"/>
      <c r="L24" s="28">
        <v>0.7</v>
      </c>
      <c r="M24" s="9"/>
      <c r="N24" s="9"/>
      <c r="O24" s="11">
        <f>ORÇAMENTO!K322</f>
        <v>504548.09597969986</v>
      </c>
      <c r="P24" s="120">
        <f t="shared" si="0"/>
        <v>5.0557763894356157E-2</v>
      </c>
      <c r="Q24" s="25"/>
    </row>
    <row r="25" spans="1:17" ht="28.8" x14ac:dyDescent="0.3">
      <c r="A25" s="119">
        <v>14</v>
      </c>
      <c r="B25" s="26" t="str">
        <f>ORÇAMENTO!A323</f>
        <v xml:space="preserve">GRUPO DE SERVIÇO: 179- ESQUADRIAS DE MADEIRA </v>
      </c>
      <c r="C25" s="350"/>
      <c r="D25" s="9"/>
      <c r="E25" s="9"/>
      <c r="F25" s="9"/>
      <c r="G25" s="9"/>
      <c r="H25" s="9"/>
      <c r="I25" s="9"/>
      <c r="J25" s="28">
        <v>0.3</v>
      </c>
      <c r="K25" s="28">
        <v>0.7</v>
      </c>
      <c r="L25" s="9"/>
      <c r="M25" s="9"/>
      <c r="N25" s="9"/>
      <c r="O25" s="11">
        <f>ORÇAMENTO!K327</f>
        <v>6006.9535879999994</v>
      </c>
      <c r="P25" s="120">
        <f t="shared" si="0"/>
        <v>6.0192109264976519E-4</v>
      </c>
      <c r="Q25" s="25"/>
    </row>
    <row r="26" spans="1:17" ht="28.8" x14ac:dyDescent="0.3">
      <c r="A26" s="119">
        <v>15</v>
      </c>
      <c r="B26" s="26" t="str">
        <f>ORÇAMENTO!A328</f>
        <v xml:space="preserve">GRUPO DE SERVIÇO: 180- ESQUADRIAS DE METALICAS </v>
      </c>
      <c r="C26" s="350"/>
      <c r="D26" s="9"/>
      <c r="E26" s="9"/>
      <c r="F26" s="9"/>
      <c r="G26" s="9"/>
      <c r="H26" s="9"/>
      <c r="I26" s="9"/>
      <c r="J26" s="28">
        <v>0.3</v>
      </c>
      <c r="K26" s="28">
        <v>0.7</v>
      </c>
      <c r="L26" s="9"/>
      <c r="M26" s="9"/>
      <c r="N26" s="9"/>
      <c r="O26" s="11">
        <f>ORÇAMENTO!K337</f>
        <v>197281.134027144</v>
      </c>
      <c r="P26" s="120">
        <f t="shared" si="0"/>
        <v>1.9768369109763682E-2</v>
      </c>
      <c r="Q26" s="25"/>
    </row>
    <row r="27" spans="1:17" ht="28.8" x14ac:dyDescent="0.3">
      <c r="A27" s="119">
        <v>16</v>
      </c>
      <c r="B27" s="26" t="str">
        <f>ORÇAMENTO!A338</f>
        <v xml:space="preserve">GRUPO DE SERVIÇO: 182- REVESTIMENTO DE PAREDE </v>
      </c>
      <c r="C27" s="350"/>
      <c r="D27" s="9"/>
      <c r="E27" s="9"/>
      <c r="F27" s="9"/>
      <c r="G27" s="9"/>
      <c r="H27" s="9"/>
      <c r="I27" s="9"/>
      <c r="J27" s="28">
        <v>0.2</v>
      </c>
      <c r="K27" s="28">
        <v>0.2</v>
      </c>
      <c r="L27" s="28">
        <v>0.3</v>
      </c>
      <c r="M27" s="28">
        <v>0.3</v>
      </c>
      <c r="N27" s="9"/>
      <c r="O27" s="11">
        <f>ORÇAMENTO!K344</f>
        <v>1545784.5087143797</v>
      </c>
      <c r="P27" s="120">
        <f t="shared" si="0"/>
        <v>0.15489387205274344</v>
      </c>
      <c r="Q27" s="25"/>
    </row>
    <row r="28" spans="1:17" x14ac:dyDescent="0.3">
      <c r="A28" s="119">
        <v>17</v>
      </c>
      <c r="B28" s="26" t="str">
        <f>ORÇAMENTO!A345</f>
        <v>GRUPO DE SERVIÇO: 183- FORROS</v>
      </c>
      <c r="C28" s="350"/>
      <c r="D28" s="9"/>
      <c r="E28" s="9"/>
      <c r="F28" s="9"/>
      <c r="G28" s="9"/>
      <c r="H28" s="9"/>
      <c r="I28" s="9"/>
      <c r="J28" s="9"/>
      <c r="K28" s="28">
        <v>1</v>
      </c>
      <c r="L28" s="9"/>
      <c r="M28" s="9"/>
      <c r="N28" s="9"/>
      <c r="O28" s="11">
        <f>ORÇAMENTO!K348</f>
        <v>4900.9212347199982</v>
      </c>
      <c r="P28" s="120">
        <f t="shared" si="0"/>
        <v>4.9109216866369742E-4</v>
      </c>
      <c r="Q28" s="25"/>
    </row>
    <row r="29" spans="1:17" ht="28.8" x14ac:dyDescent="0.3">
      <c r="A29" s="119">
        <v>18</v>
      </c>
      <c r="B29" s="26" t="str">
        <f>ORÇAMENTO!A349</f>
        <v xml:space="preserve">GRUPO DE SERVIÇO: 184- REVESTIMENTO DE PISO </v>
      </c>
      <c r="C29" s="350"/>
      <c r="D29" s="9"/>
      <c r="E29" s="9"/>
      <c r="F29" s="9"/>
      <c r="G29" s="9"/>
      <c r="H29" s="9"/>
      <c r="I29" s="9"/>
      <c r="J29" s="9"/>
      <c r="K29" s="28">
        <v>0.45</v>
      </c>
      <c r="L29" s="28">
        <v>0.25</v>
      </c>
      <c r="M29" s="28">
        <v>0.3</v>
      </c>
      <c r="N29" s="9"/>
      <c r="O29" s="11">
        <f>ORÇAMENTO!K357</f>
        <v>639542.309876816</v>
      </c>
      <c r="P29" s="120">
        <f t="shared" si="0"/>
        <v>6.4084731189837166E-2</v>
      </c>
      <c r="Q29" s="25"/>
    </row>
    <row r="30" spans="1:17" x14ac:dyDescent="0.3">
      <c r="A30" s="119">
        <v>19</v>
      </c>
      <c r="B30" s="26" t="str">
        <f>ORÇAMENTO!A358</f>
        <v xml:space="preserve">GRUPO DE SERVIÇO: 185- FERRAGENS </v>
      </c>
      <c r="C30" s="351"/>
      <c r="D30" s="10"/>
      <c r="E30" s="10"/>
      <c r="F30" s="10"/>
      <c r="G30" s="10"/>
      <c r="H30" s="10"/>
      <c r="I30" s="10"/>
      <c r="J30" s="29">
        <v>0.25</v>
      </c>
      <c r="K30" s="29">
        <v>0.75</v>
      </c>
      <c r="L30" s="10"/>
      <c r="M30" s="10"/>
      <c r="N30" s="10"/>
      <c r="O30" s="11">
        <f>ORÇAMENTO!K364</f>
        <v>4468.0295119999992</v>
      </c>
      <c r="P30" s="120">
        <f t="shared" si="0"/>
        <v>4.4771466375685226E-4</v>
      </c>
      <c r="Q30" s="25"/>
    </row>
    <row r="31" spans="1:17" x14ac:dyDescent="0.3">
      <c r="A31" s="119">
        <v>21</v>
      </c>
      <c r="B31" s="26" t="str">
        <f>ORÇAMENTO!A365</f>
        <v>GRUPO DE SERVIÇO: 188- PINTURA</v>
      </c>
      <c r="C31" s="350"/>
      <c r="D31" s="9"/>
      <c r="E31" s="9"/>
      <c r="F31" s="9"/>
      <c r="G31" s="9"/>
      <c r="H31" s="9"/>
      <c r="I31" s="9"/>
      <c r="J31" s="9"/>
      <c r="K31" s="9"/>
      <c r="L31" s="28">
        <v>0.3</v>
      </c>
      <c r="M31" s="28">
        <v>0.4</v>
      </c>
      <c r="N31" s="28">
        <v>0.3</v>
      </c>
      <c r="O31" s="11">
        <f>ORÇAMENTO!K377</f>
        <v>260269.29741170001</v>
      </c>
      <c r="P31" s="120">
        <f t="shared" si="0"/>
        <v>2.6080038339932849E-2</v>
      </c>
      <c r="Q31" s="25"/>
    </row>
    <row r="32" spans="1:17" x14ac:dyDescent="0.3">
      <c r="A32" s="119">
        <v>22</v>
      </c>
      <c r="B32" s="26" t="str">
        <f>ORÇAMENTO!A378</f>
        <v xml:space="preserve">GRUPO DE SERVIÇO: 189- DIVERSOS </v>
      </c>
      <c r="C32" s="350"/>
      <c r="D32" s="9"/>
      <c r="E32" s="9"/>
      <c r="F32" s="9"/>
      <c r="G32" s="9"/>
      <c r="H32" s="9"/>
      <c r="I32" s="9"/>
      <c r="J32" s="9"/>
      <c r="K32" s="9"/>
      <c r="L32" s="9"/>
      <c r="M32" s="9"/>
      <c r="N32" s="28">
        <v>1</v>
      </c>
      <c r="O32" s="11">
        <f>ORÇAMENTO!K390</f>
        <v>233163.17240171996</v>
      </c>
      <c r="P32" s="120">
        <f t="shared" si="0"/>
        <v>2.336389476657446E-2</v>
      </c>
      <c r="Q32" s="25"/>
    </row>
    <row r="33" spans="1:18" ht="21" customHeight="1" x14ac:dyDescent="0.3">
      <c r="A33" s="119">
        <v>23</v>
      </c>
      <c r="B33" s="26" t="str">
        <f>ORÇAMENTO!A391</f>
        <v>GRUPO DE SERVIÇO: 100002 - PAVIMENTAÇÃO</v>
      </c>
      <c r="C33" s="349">
        <v>0.6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28">
        <v>0.4</v>
      </c>
      <c r="O33" s="11">
        <f>ORÇAMENTO!K408</f>
        <v>1251366.8193338977</v>
      </c>
      <c r="P33" s="120">
        <f t="shared" si="0"/>
        <v>0.12539202645144878</v>
      </c>
      <c r="Q33" s="25"/>
    </row>
    <row r="34" spans="1:18" ht="21" customHeight="1" x14ac:dyDescent="0.3">
      <c r="A34" s="119">
        <v>24</v>
      </c>
      <c r="B34" s="26" t="str">
        <f>ORÇAMENTO!A409</f>
        <v>GRUPO DE SERVIÇO: ADMINISTRAÇÃO LOCAL</v>
      </c>
      <c r="C34" s="349">
        <f>1/12</f>
        <v>8.3333333333333329E-2</v>
      </c>
      <c r="D34" s="28">
        <f t="shared" ref="D34:N35" si="2">1/12</f>
        <v>8.3333333333333329E-2</v>
      </c>
      <c r="E34" s="28">
        <f t="shared" si="2"/>
        <v>8.3333333333333329E-2</v>
      </c>
      <c r="F34" s="28">
        <f t="shared" si="2"/>
        <v>8.3333333333333329E-2</v>
      </c>
      <c r="G34" s="28">
        <f t="shared" si="2"/>
        <v>8.3333333333333329E-2</v>
      </c>
      <c r="H34" s="28">
        <f t="shared" si="2"/>
        <v>8.3333333333333329E-2</v>
      </c>
      <c r="I34" s="28">
        <f t="shared" si="2"/>
        <v>8.3333333333333329E-2</v>
      </c>
      <c r="J34" s="28">
        <f t="shared" si="2"/>
        <v>8.3333333333333329E-2</v>
      </c>
      <c r="K34" s="28">
        <f t="shared" si="2"/>
        <v>8.3333333333333329E-2</v>
      </c>
      <c r="L34" s="28">
        <f t="shared" si="2"/>
        <v>8.3333333333333329E-2</v>
      </c>
      <c r="M34" s="28">
        <f t="shared" si="2"/>
        <v>8.3333333333333329E-2</v>
      </c>
      <c r="N34" s="28">
        <f t="shared" si="2"/>
        <v>8.3333333333333329E-2</v>
      </c>
      <c r="O34" s="11">
        <f>ORÇAMENTO!K411</f>
        <v>719909.65875599987</v>
      </c>
      <c r="P34" s="120">
        <f t="shared" si="0"/>
        <v>7.2137865235580564E-2</v>
      </c>
      <c r="Q34" s="25"/>
    </row>
    <row r="35" spans="1:18" ht="21" customHeight="1" x14ac:dyDescent="0.3">
      <c r="A35" s="119">
        <v>25</v>
      </c>
      <c r="B35" s="26" t="str">
        <f>ORÇAMENTO!A412</f>
        <v>GRUPO DE SERVIÇO: CANTEIRO DE OBRAS</v>
      </c>
      <c r="C35" s="349">
        <f>1/12</f>
        <v>8.3333333333333329E-2</v>
      </c>
      <c r="D35" s="28">
        <f t="shared" si="2"/>
        <v>8.3333333333333329E-2</v>
      </c>
      <c r="E35" s="28">
        <f t="shared" si="2"/>
        <v>8.3333333333333329E-2</v>
      </c>
      <c r="F35" s="28">
        <f t="shared" si="2"/>
        <v>8.3333333333333329E-2</v>
      </c>
      <c r="G35" s="28">
        <f t="shared" si="2"/>
        <v>8.3333333333333329E-2</v>
      </c>
      <c r="H35" s="28">
        <f t="shared" si="2"/>
        <v>8.3333333333333329E-2</v>
      </c>
      <c r="I35" s="28">
        <f t="shared" si="2"/>
        <v>8.3333333333333329E-2</v>
      </c>
      <c r="J35" s="28">
        <f t="shared" si="2"/>
        <v>8.3333333333333329E-2</v>
      </c>
      <c r="K35" s="28">
        <f t="shared" si="2"/>
        <v>8.3333333333333329E-2</v>
      </c>
      <c r="L35" s="28">
        <f t="shared" si="2"/>
        <v>8.3333333333333329E-2</v>
      </c>
      <c r="M35" s="28">
        <f t="shared" si="2"/>
        <v>8.3333333333333329E-2</v>
      </c>
      <c r="N35" s="28">
        <f t="shared" si="2"/>
        <v>8.3333333333333329E-2</v>
      </c>
      <c r="O35" s="11">
        <f>ORÇAMENTO!K414</f>
        <v>101628.19663949998</v>
      </c>
      <c r="P35" s="120">
        <f t="shared" si="0"/>
        <v>1.0183557150745383E-2</v>
      </c>
      <c r="Q35" s="25"/>
    </row>
    <row r="36" spans="1:18" ht="29.4" thickBot="1" x14ac:dyDescent="0.35">
      <c r="A36" s="119">
        <v>26</v>
      </c>
      <c r="B36" s="26" t="str">
        <f>ORÇAMENTO!A415</f>
        <v>GRUPO DE SERVIÇO: MOBILIZAÇÃO E DESMOBILIZAÇÃO DE EQUIPAMENTOS</v>
      </c>
      <c r="C36" s="423">
        <v>0.5</v>
      </c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424">
        <v>0.5</v>
      </c>
      <c r="O36" s="353">
        <f>ORÇAMENTO!K417</f>
        <v>103534.721316</v>
      </c>
      <c r="P36" s="422">
        <f t="shared" si="0"/>
        <v>1.0374598649506938E-2</v>
      </c>
      <c r="Q36" s="25"/>
    </row>
    <row r="37" spans="1:18" ht="15" thickBot="1" x14ac:dyDescent="0.35">
      <c r="A37" s="695" t="s">
        <v>476</v>
      </c>
      <c r="B37" s="700"/>
      <c r="C37" s="421">
        <f>C39/O37</f>
        <v>0.10379233650325366</v>
      </c>
      <c r="D37" s="421">
        <f>D39/$O$37</f>
        <v>4.9847370731379292E-2</v>
      </c>
      <c r="E37" s="421">
        <f t="shared" ref="E37:N37" si="3">E39/$O$37</f>
        <v>5.5142835820564694E-2</v>
      </c>
      <c r="F37" s="421">
        <f t="shared" si="3"/>
        <v>6.0054568272784312E-2</v>
      </c>
      <c r="G37" s="421">
        <f t="shared" si="3"/>
        <v>6.0159447578454116E-2</v>
      </c>
      <c r="H37" s="421">
        <f t="shared" si="3"/>
        <v>0.10475211827882089</v>
      </c>
      <c r="I37" s="421">
        <f t="shared" si="3"/>
        <v>8.1943381387563435E-2</v>
      </c>
      <c r="J37" s="421">
        <f t="shared" si="3"/>
        <v>0.10349024941071447</v>
      </c>
      <c r="K37" s="421">
        <f t="shared" si="3"/>
        <v>8.26295706216537E-2</v>
      </c>
      <c r="L37" s="421">
        <f t="shared" si="3"/>
        <v>0.11343037650881901</v>
      </c>
      <c r="M37" s="421">
        <f t="shared" si="3"/>
        <v>9.0499142844597549E-2</v>
      </c>
      <c r="N37" s="421">
        <f t="shared" si="3"/>
        <v>9.4258602041394829E-2</v>
      </c>
      <c r="O37" s="701">
        <f>SUM(O12:O36)</f>
        <v>9979636.3034169581</v>
      </c>
      <c r="P37" s="691">
        <f>SUM(P12:P36)</f>
        <v>0.99999999999999978</v>
      </c>
      <c r="R37">
        <f>100/12</f>
        <v>8.3333333333333339</v>
      </c>
    </row>
    <row r="38" spans="1:18" ht="15" thickBot="1" x14ac:dyDescent="0.35">
      <c r="A38" s="693" t="s">
        <v>477</v>
      </c>
      <c r="B38" s="694"/>
      <c r="C38" s="6">
        <f>C37</f>
        <v>0.10379233650325366</v>
      </c>
      <c r="D38" s="6">
        <f t="shared" ref="D38:N38" si="4">C38+D37</f>
        <v>0.15363970723463294</v>
      </c>
      <c r="E38" s="6">
        <f t="shared" si="4"/>
        <v>0.20878254305519764</v>
      </c>
      <c r="F38" s="6">
        <f t="shared" si="4"/>
        <v>0.26883711132798194</v>
      </c>
      <c r="G38" s="6">
        <f t="shared" si="4"/>
        <v>0.32899655890643603</v>
      </c>
      <c r="H38" s="6">
        <f t="shared" si="4"/>
        <v>0.43374867718525689</v>
      </c>
      <c r="I38" s="6">
        <f t="shared" si="4"/>
        <v>0.5156920585728203</v>
      </c>
      <c r="J38" s="6">
        <f t="shared" si="4"/>
        <v>0.6191823079835348</v>
      </c>
      <c r="K38" s="6">
        <f t="shared" si="4"/>
        <v>0.70181187860518846</v>
      </c>
      <c r="L38" s="6">
        <f t="shared" si="4"/>
        <v>0.8152422551140075</v>
      </c>
      <c r="M38" s="6">
        <f t="shared" si="4"/>
        <v>0.90574139795860509</v>
      </c>
      <c r="N38" s="6">
        <f t="shared" si="4"/>
        <v>0.99999999999999989</v>
      </c>
      <c r="O38" s="701"/>
      <c r="P38" s="691"/>
    </row>
    <row r="39" spans="1:18" ht="15" thickBot="1" x14ac:dyDescent="0.35">
      <c r="A39" s="695" t="s">
        <v>478</v>
      </c>
      <c r="B39" s="696"/>
      <c r="C39" s="7">
        <f>C12*$O$12+C13*$O$13+C14*$O$14+C15*$O$15+C16*$O$16+C17*$O$17+C18*$O$18+C19*$O$19+C20*$O$20+C21*$O$21+C22*$O$22+C23*$O$23+C24*$O$24+C25*$O$25+C26*$O$26+C27*$O$27+C28*$O$28+C29*$O$29+C30*$O$30+C31*$O$31+C32*$O$32+C33*$O$33+C34*$O$34+C35*$O$35+C36*$O$36</f>
        <v>1035809.7693843393</v>
      </c>
      <c r="D39" s="7">
        <f t="shared" ref="D39:N39" si="5">D12*$O$12+D13*$O$13+D14*$O$14+D15*$O$15+D16*$O$16+D17*$O$17+D18*$O$18+D19*$O$19+D20*$O$20+D21*$O$21+D22*$O$22+D23*$O$23+D24*$O$24+D25*$O$25+D26*$O$26+D27*$O$27+D28*$O$28+D29*$O$29+D30*$O$30+D31*$O$31+D32*$O$32+D33*$O$33+D34*$O$34+D35*$O$35+D36*$O$36</f>
        <v>497458.6305807567</v>
      </c>
      <c r="E39" s="7">
        <f t="shared" si="5"/>
        <v>550305.44622826844</v>
      </c>
      <c r="F39" s="7">
        <f t="shared" si="5"/>
        <v>599322.74972111057</v>
      </c>
      <c r="G39" s="7">
        <f t="shared" si="5"/>
        <v>600369.40704745008</v>
      </c>
      <c r="H39" s="7">
        <f t="shared" si="5"/>
        <v>1045388.042435148</v>
      </c>
      <c r="I39" s="7">
        <f t="shared" si="5"/>
        <v>817765.14372006955</v>
      </c>
      <c r="J39" s="7">
        <f t="shared" si="5"/>
        <v>1032795.0500688415</v>
      </c>
      <c r="K39" s="7">
        <f t="shared" si="5"/>
        <v>824613.06271161058</v>
      </c>
      <c r="L39" s="7">
        <f t="shared" si="5"/>
        <v>1131993.9033176643</v>
      </c>
      <c r="M39" s="7">
        <f t="shared" si="5"/>
        <v>903148.53136006277</v>
      </c>
      <c r="N39" s="7">
        <f t="shared" si="5"/>
        <v>940666.56684163562</v>
      </c>
      <c r="O39" s="701"/>
      <c r="P39" s="691"/>
    </row>
    <row r="40" spans="1:18" ht="15" thickBot="1" x14ac:dyDescent="0.35">
      <c r="A40" s="693" t="s">
        <v>479</v>
      </c>
      <c r="B40" s="694"/>
      <c r="C40" s="7">
        <f>C12*$O$12+C13*$O$13+C14*$O$14+C15*$O$15+C16*$O$16+C17*$O$17+C18*$O$18+C19*$O$19+C20*$O$20+C21*$O$21+C22*$O$22+C23*$O$23+C24*$O$24+C25*$O$25+C26*$O$26+C27*$O$27+C28*$O$28+C29*$O$29+C30*$O$30+C31*$O$31+C32*$O$32+C33*$O$33+C34*$O$34+C35*$O$35+C36*$O$36</f>
        <v>1035809.7693843393</v>
      </c>
      <c r="D40" s="7">
        <f>C40+D12*$O$12+D13*$O$13+D14*$O$14+D15*$O$15+D16*$O$16+D17*$O$17+D18*$O$18+D19*$O$19+D20*$O$20+D21*$O$21+D22*$O$22+D23*$O$23+D24*$O$24+D25*$O$25+D26*$O$26+D27*$O$27+D28*$O$28+D29*$O$29+D30*$O$30+D31*$O$31+D32*$O$32+D33*$O$33+D34*$O$34+D35*$O$35+D36*$O$36</f>
        <v>1533268.399965096</v>
      </c>
      <c r="E40" s="7">
        <f t="shared" ref="E40:N40" si="6">D40+E12*$O$12+E13*$O$13+E14*$O$14+E15*$O$15+E16*$O$16+E17*$O$17+E18*$O$18+E19*$O$19+E20*$O$20+E21*$O$21+E22*$O$22+E23*$O$23+E24*$O$24+E25*$O$25+E26*$O$26+E27*$O$27+E28*$O$28+E29*$O$29+E30*$O$30+E31*$O$31+E32*$O$32+E33*$O$33+E34*$O$34+E35*$O$35+E36*$O$36</f>
        <v>2083573.8461933644</v>
      </c>
      <c r="F40" s="7">
        <f t="shared" si="6"/>
        <v>2682896.5959144747</v>
      </c>
      <c r="G40" s="7">
        <f t="shared" si="6"/>
        <v>3283266.0029619248</v>
      </c>
      <c r="H40" s="7">
        <f t="shared" si="6"/>
        <v>4328654.045397074</v>
      </c>
      <c r="I40" s="7">
        <f t="shared" si="6"/>
        <v>5146419.1891171448</v>
      </c>
      <c r="J40" s="7">
        <f t="shared" si="6"/>
        <v>6179214.2391859861</v>
      </c>
      <c r="K40" s="7">
        <f t="shared" si="6"/>
        <v>7003827.3018975984</v>
      </c>
      <c r="L40" s="7">
        <f t="shared" si="6"/>
        <v>8135821.2052152632</v>
      </c>
      <c r="M40" s="7">
        <f t="shared" si="6"/>
        <v>9038969.736575326</v>
      </c>
      <c r="N40" s="7">
        <f t="shared" si="6"/>
        <v>9979636.3034169637</v>
      </c>
      <c r="O40" s="702"/>
      <c r="P40" s="692"/>
    </row>
    <row r="41" spans="1:18" x14ac:dyDescent="0.3">
      <c r="A41" s="74"/>
      <c r="B41" s="75"/>
      <c r="C41" s="75"/>
      <c r="D41" s="76"/>
      <c r="E41" s="8"/>
      <c r="F41" s="77"/>
      <c r="G41" s="78"/>
      <c r="H41" s="79"/>
      <c r="I41" s="80"/>
      <c r="J41" s="101"/>
      <c r="K41" s="76"/>
      <c r="L41" s="76"/>
      <c r="M41" s="76"/>
      <c r="N41" s="76"/>
      <c r="O41" s="76"/>
      <c r="P41" s="102"/>
    </row>
    <row r="42" spans="1:18" x14ac:dyDescent="0.3">
      <c r="A42" s="81"/>
      <c r="B42" s="450"/>
      <c r="C42" s="450"/>
      <c r="D42" s="451"/>
      <c r="E42" s="452"/>
      <c r="F42" s="453"/>
      <c r="G42" s="454"/>
      <c r="H42" s="458"/>
      <c r="I42" s="84"/>
      <c r="J42" s="467"/>
      <c r="K42" s="451"/>
      <c r="L42" s="451"/>
      <c r="M42" s="451"/>
      <c r="N42" s="451"/>
      <c r="O42" s="451"/>
      <c r="P42" s="103"/>
    </row>
    <row r="43" spans="1:18" x14ac:dyDescent="0.3">
      <c r="A43" s="81"/>
      <c r="B43" s="450"/>
      <c r="C43" s="452"/>
      <c r="D43" s="451"/>
      <c r="E43" s="452"/>
      <c r="F43" s="451"/>
      <c r="G43" s="451"/>
      <c r="H43" s="453"/>
      <c r="I43" s="452"/>
      <c r="J43" s="458"/>
      <c r="K43" s="84"/>
      <c r="L43" s="452"/>
      <c r="M43" s="451"/>
      <c r="N43" s="451"/>
      <c r="O43" s="451"/>
      <c r="P43" s="103"/>
    </row>
    <row r="44" spans="1:18" ht="14.4" customHeight="1" x14ac:dyDescent="0.3">
      <c r="A44" s="481" t="s">
        <v>753</v>
      </c>
      <c r="B44" s="482"/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3"/>
    </row>
    <row r="45" spans="1:18" ht="14.4" customHeight="1" x14ac:dyDescent="0.3">
      <c r="A45" s="484" t="s">
        <v>1311</v>
      </c>
      <c r="B45" s="485"/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  <c r="N45" s="485"/>
      <c r="O45" s="485"/>
      <c r="P45" s="486"/>
    </row>
    <row r="46" spans="1:18" ht="14.4" customHeight="1" x14ac:dyDescent="0.3">
      <c r="A46" s="484" t="s">
        <v>1312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6"/>
    </row>
    <row r="47" spans="1:18" x14ac:dyDescent="0.3">
      <c r="A47" s="81"/>
      <c r="B47" s="468"/>
      <c r="C47" s="450"/>
      <c r="D47" s="451"/>
      <c r="E47" s="452"/>
      <c r="F47" s="468"/>
      <c r="G47" s="455"/>
      <c r="H47" s="451"/>
      <c r="I47" s="452"/>
      <c r="J47" s="468"/>
      <c r="K47" s="89"/>
      <c r="L47" s="469"/>
      <c r="M47" s="451"/>
      <c r="N47" s="451"/>
      <c r="O47" s="451"/>
      <c r="P47" s="103"/>
    </row>
    <row r="48" spans="1:18" x14ac:dyDescent="0.3">
      <c r="A48" s="81"/>
      <c r="B48" s="468"/>
      <c r="C48" s="452"/>
      <c r="D48" s="451"/>
      <c r="E48" s="452"/>
      <c r="F48" s="468"/>
      <c r="G48" s="455"/>
      <c r="H48" s="451"/>
      <c r="I48" s="452"/>
      <c r="J48" s="468"/>
      <c r="K48" s="89"/>
      <c r="L48" s="469"/>
      <c r="M48" s="451"/>
      <c r="N48" s="451"/>
      <c r="O48" s="451"/>
      <c r="P48" s="103"/>
    </row>
    <row r="49" spans="1:16" ht="15" thickBot="1" x14ac:dyDescent="0.35">
      <c r="A49" s="121"/>
      <c r="B49" s="95"/>
      <c r="C49" s="122"/>
      <c r="D49" s="105"/>
      <c r="E49" s="3"/>
      <c r="F49" s="105"/>
      <c r="G49" s="105"/>
      <c r="H49" s="123"/>
      <c r="I49" s="124"/>
      <c r="J49" s="95"/>
      <c r="K49" s="125"/>
      <c r="L49" s="104"/>
      <c r="M49" s="105"/>
      <c r="N49" s="105"/>
      <c r="O49" s="105"/>
      <c r="P49" s="106"/>
    </row>
  </sheetData>
  <sheetProtection selectLockedCells="1"/>
  <mergeCells count="18">
    <mergeCell ref="A44:P44"/>
    <mergeCell ref="A45:P45"/>
    <mergeCell ref="A46:P46"/>
    <mergeCell ref="A6:P6"/>
    <mergeCell ref="A7:P7"/>
    <mergeCell ref="A8:P8"/>
    <mergeCell ref="P37:P40"/>
    <mergeCell ref="A38:B38"/>
    <mergeCell ref="A39:B39"/>
    <mergeCell ref="A40:B40"/>
    <mergeCell ref="C10:P10"/>
    <mergeCell ref="A37:B37"/>
    <mergeCell ref="O37:O40"/>
    <mergeCell ref="A1:P1"/>
    <mergeCell ref="A2:P2"/>
    <mergeCell ref="A3:P3"/>
    <mergeCell ref="A4:P4"/>
    <mergeCell ref="A5:P5"/>
  </mergeCells>
  <conditionalFormatting sqref="P41:P42 D47">
    <cfRule type="containsText" dxfId="1" priority="2" operator="containsText" text="TOTAL">
      <formula>NOT(ISERROR(SEARCH("TOTAL",D41)))</formula>
    </cfRule>
  </conditionalFormatting>
  <conditionalFormatting sqref="L47">
    <cfRule type="containsText" dxfId="0" priority="1" operator="containsText" text="TOTAL">
      <formula>NOT(ISERROR(SEARCH("TOTAL",L47)))</formula>
    </cfRule>
  </conditionalFormatting>
  <pageMargins left="0.511811024" right="0.511811024" top="0.21" bottom="0.18" header="0.31496062000000002" footer="0.31496062000000002"/>
  <pageSetup paperSize="9"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9" zoomScale="85" zoomScaleNormal="85" workbookViewId="0">
      <selection activeCell="A32" sqref="A32:I34"/>
    </sheetView>
  </sheetViews>
  <sheetFormatPr defaultColWidth="8.88671875" defaultRowHeight="14.4" x14ac:dyDescent="0.3"/>
  <cols>
    <col min="1" max="1" width="8.88671875" style="70"/>
    <col min="2" max="2" width="8.88671875" style="69"/>
    <col min="3" max="3" width="47.109375" style="70" customWidth="1"/>
    <col min="4" max="4" width="13.6640625" style="71" customWidth="1"/>
    <col min="5" max="5" width="11.109375" style="70" bestFit="1" customWidth="1"/>
    <col min="6" max="6" width="12.88671875" style="157" bestFit="1" customWidth="1"/>
    <col min="7" max="7" width="12.44140625" style="157" bestFit="1" customWidth="1"/>
    <col min="8" max="8" width="12.44140625" style="72" bestFit="1" customWidth="1"/>
    <col min="9" max="9" width="14" style="72" bestFit="1" customWidth="1"/>
    <col min="11" max="11" width="10.5546875" bestFit="1" customWidth="1"/>
  </cols>
  <sheetData>
    <row r="1" spans="1:9" x14ac:dyDescent="0.3">
      <c r="A1" s="663" t="str">
        <f>ORÇAMENTO!A1</f>
        <v>PREFEITURA MUNICIPAL DE CATALÃO</v>
      </c>
      <c r="B1" s="664"/>
      <c r="C1" s="664"/>
      <c r="D1" s="664"/>
      <c r="E1" s="664"/>
      <c r="F1" s="664"/>
      <c r="G1" s="664"/>
      <c r="H1" s="664"/>
      <c r="I1" s="665"/>
    </row>
    <row r="2" spans="1:9" x14ac:dyDescent="0.3">
      <c r="A2" s="635" t="str">
        <f>ORÇAMENTO!A2</f>
        <v>SECRETARIA MUNICIPAL DE TRANSPORTES</v>
      </c>
      <c r="B2" s="690"/>
      <c r="C2" s="690"/>
      <c r="D2" s="690"/>
      <c r="E2" s="690"/>
      <c r="F2" s="690"/>
      <c r="G2" s="690"/>
      <c r="H2" s="690"/>
      <c r="I2" s="637"/>
    </row>
    <row r="3" spans="1:9" x14ac:dyDescent="0.3">
      <c r="A3" s="635" t="s">
        <v>1231</v>
      </c>
      <c r="B3" s="690"/>
      <c r="C3" s="690"/>
      <c r="D3" s="690"/>
      <c r="E3" s="690"/>
      <c r="F3" s="690"/>
      <c r="G3" s="690"/>
      <c r="H3" s="690"/>
      <c r="I3" s="637"/>
    </row>
    <row r="4" spans="1:9" x14ac:dyDescent="0.3">
      <c r="A4" s="635" t="str">
        <f>ORÇAMENTO!A4</f>
        <v>ARCO VIÁRIO, KM 2, ZONA RURAL, CATALÃO - GO</v>
      </c>
      <c r="B4" s="690"/>
      <c r="C4" s="690"/>
      <c r="D4" s="690"/>
      <c r="E4" s="690"/>
      <c r="F4" s="690"/>
      <c r="G4" s="690"/>
      <c r="H4" s="690"/>
      <c r="I4" s="637"/>
    </row>
    <row r="5" spans="1:9" x14ac:dyDescent="0.3">
      <c r="A5" s="635" t="str">
        <f>ORÇAMENTO!A5</f>
        <v>GOINFRA - TABELA 174 - CUSTOS DE OBRAS CIVIS - JUL/2022 - COM DESENERAÇÃO</v>
      </c>
      <c r="B5" s="690"/>
      <c r="C5" s="690"/>
      <c r="D5" s="690"/>
      <c r="E5" s="690"/>
      <c r="F5" s="690"/>
      <c r="G5" s="690"/>
      <c r="H5" s="690"/>
      <c r="I5" s="637"/>
    </row>
    <row r="6" spans="1:9" x14ac:dyDescent="0.3">
      <c r="A6" s="635" t="str">
        <f>ORÇAMENTO!A6</f>
        <v>SINAPI - JUL/2022 - COMPOSIÇÃO SINTÉTICA - DESONERADA</v>
      </c>
      <c r="B6" s="690"/>
      <c r="C6" s="690"/>
      <c r="D6" s="690"/>
      <c r="E6" s="690"/>
      <c r="F6" s="690"/>
      <c r="G6" s="690"/>
      <c r="H6" s="690"/>
      <c r="I6" s="637"/>
    </row>
    <row r="7" spans="1:9" x14ac:dyDescent="0.3">
      <c r="A7" s="635" t="str">
        <f>ORÇAMENTO!A7</f>
        <v>SINAPI - JUL/2022 - PREÇO DE INSUMOS - DESONERADA</v>
      </c>
      <c r="B7" s="690"/>
      <c r="C7" s="690"/>
      <c r="D7" s="690"/>
      <c r="E7" s="690"/>
      <c r="F7" s="690"/>
      <c r="G7" s="690"/>
      <c r="H7" s="690"/>
      <c r="I7" s="637"/>
    </row>
    <row r="8" spans="1:9" x14ac:dyDescent="0.3">
      <c r="A8" s="635" t="str">
        <f>ORÇAMENTO!A8</f>
        <v>GOINFRA - TABELA T77 - TERRAPLENAGEM, PAVIMENTAÇÃO E OBRAS DE ARTE ESPECIAIS - JUL/22 - COM DESONERAÇÃO</v>
      </c>
      <c r="B8" s="690"/>
      <c r="C8" s="690"/>
      <c r="D8" s="690"/>
      <c r="E8" s="690"/>
      <c r="F8" s="690"/>
      <c r="G8" s="690"/>
      <c r="H8" s="690"/>
      <c r="I8" s="637"/>
    </row>
    <row r="9" spans="1:9" x14ac:dyDescent="0.3">
      <c r="A9" s="635"/>
      <c r="B9" s="690"/>
      <c r="C9" s="690"/>
      <c r="D9" s="690"/>
      <c r="E9" s="690"/>
      <c r="F9" s="690"/>
      <c r="G9" s="690"/>
      <c r="H9" s="690"/>
      <c r="I9" s="637"/>
    </row>
    <row r="10" spans="1:9" ht="15" thickBot="1" x14ac:dyDescent="0.35">
      <c r="A10" s="666" t="str">
        <f>ORÇAMENTO!A12</f>
        <v>CATALÃO 20/07/2022</v>
      </c>
      <c r="B10" s="667"/>
      <c r="C10" s="667"/>
      <c r="D10" s="667"/>
      <c r="E10" s="667"/>
      <c r="F10" s="667"/>
      <c r="G10" s="667"/>
      <c r="H10" s="667"/>
      <c r="I10" s="668"/>
    </row>
    <row r="11" spans="1:9" x14ac:dyDescent="0.3">
      <c r="A11" s="714" t="s">
        <v>1167</v>
      </c>
      <c r="B11" s="715"/>
      <c r="C11" s="715"/>
      <c r="D11" s="715"/>
      <c r="E11" s="715"/>
      <c r="F11" s="715"/>
      <c r="G11" s="715"/>
      <c r="H11" s="715"/>
      <c r="I11" s="716"/>
    </row>
    <row r="12" spans="1:9" x14ac:dyDescent="0.3">
      <c r="A12" s="5"/>
      <c r="B12" s="451"/>
      <c r="C12" s="717"/>
      <c r="D12" s="717"/>
      <c r="E12" s="717"/>
      <c r="F12" s="717"/>
      <c r="G12" s="717"/>
      <c r="H12" s="717"/>
      <c r="I12" s="718"/>
    </row>
    <row r="13" spans="1:9" x14ac:dyDescent="0.3">
      <c r="A13" s="719" t="s">
        <v>1168</v>
      </c>
      <c r="B13" s="720"/>
      <c r="C13" s="720"/>
      <c r="D13" s="720"/>
      <c r="E13" s="720"/>
      <c r="F13" s="720"/>
      <c r="G13" s="720"/>
      <c r="H13" s="720"/>
      <c r="I13" s="721"/>
    </row>
    <row r="14" spans="1:9" x14ac:dyDescent="0.3">
      <c r="A14" s="241"/>
      <c r="B14" s="459"/>
      <c r="C14" s="717"/>
      <c r="D14" s="717"/>
      <c r="E14" s="717"/>
      <c r="F14" s="717"/>
      <c r="G14" s="717"/>
      <c r="H14" s="717"/>
      <c r="I14" s="718"/>
    </row>
    <row r="15" spans="1:9" ht="36" customHeight="1" x14ac:dyDescent="0.3">
      <c r="A15" s="242"/>
      <c r="B15" s="460"/>
      <c r="C15" s="722" t="s">
        <v>1169</v>
      </c>
      <c r="D15" s="722"/>
      <c r="E15" s="722"/>
      <c r="F15" s="722"/>
      <c r="G15" s="722"/>
      <c r="H15" s="722"/>
      <c r="I15" s="723"/>
    </row>
    <row r="16" spans="1:9" x14ac:dyDescent="0.3">
      <c r="A16" s="724"/>
      <c r="B16" s="725"/>
      <c r="C16" s="725"/>
      <c r="D16" s="725"/>
      <c r="E16" s="725"/>
      <c r="F16" s="725"/>
      <c r="G16" s="725"/>
      <c r="H16" s="725"/>
      <c r="I16" s="726"/>
    </row>
    <row r="17" spans="1:11" x14ac:dyDescent="0.3">
      <c r="A17" s="243" t="s">
        <v>1170</v>
      </c>
      <c r="B17" s="244" t="s">
        <v>1171</v>
      </c>
      <c r="C17" s="244" t="s">
        <v>1172</v>
      </c>
      <c r="D17" s="244" t="s">
        <v>1173</v>
      </c>
      <c r="E17" s="244" t="s">
        <v>1174</v>
      </c>
      <c r="F17" s="244" t="s">
        <v>1175</v>
      </c>
      <c r="G17" s="244" t="s">
        <v>1176</v>
      </c>
      <c r="H17" s="257" t="s">
        <v>1177</v>
      </c>
      <c r="I17" s="245" t="s">
        <v>58</v>
      </c>
    </row>
    <row r="18" spans="1:11" x14ac:dyDescent="0.3">
      <c r="A18" s="246">
        <v>44713</v>
      </c>
      <c r="B18" s="13">
        <v>40480</v>
      </c>
      <c r="C18" s="247" t="s">
        <v>1178</v>
      </c>
      <c r="D18" s="366">
        <v>3.24215257733462</v>
      </c>
      <c r="E18" s="13" t="s">
        <v>1227</v>
      </c>
      <c r="F18" s="248">
        <f>D18*1000</f>
        <v>3242.1525773346202</v>
      </c>
      <c r="G18" s="249">
        <f>F18*0.17</f>
        <v>551.16593814688542</v>
      </c>
      <c r="H18" s="249">
        <f>(F18+G18)*0.167</f>
        <v>633.48419208541145</v>
      </c>
      <c r="I18" s="250">
        <f>F18+G18+H18</f>
        <v>4426.802707566917</v>
      </c>
    </row>
    <row r="19" spans="1:11" x14ac:dyDescent="0.3">
      <c r="A19" s="246">
        <v>44713</v>
      </c>
      <c r="B19" s="13">
        <v>40490</v>
      </c>
      <c r="C19" s="367" t="s">
        <v>1180</v>
      </c>
      <c r="D19" s="366">
        <v>3.4851468223670801</v>
      </c>
      <c r="E19" s="13" t="s">
        <v>1179</v>
      </c>
      <c r="F19" s="248">
        <f t="shared" ref="F19" si="0">D19*1000</f>
        <v>3485.1468223670799</v>
      </c>
      <c r="G19" s="249">
        <f t="shared" ref="G19" si="1">F19*0.17</f>
        <v>592.47495980240365</v>
      </c>
      <c r="H19" s="249">
        <f>(F19+G19)*0.167</f>
        <v>680.96283762230382</v>
      </c>
      <c r="I19" s="250">
        <f t="shared" ref="I19" si="2">F19+G19+H19</f>
        <v>4758.5846197917872</v>
      </c>
      <c r="K19" s="83"/>
    </row>
    <row r="20" spans="1:11" ht="15" thickBot="1" x14ac:dyDescent="0.35">
      <c r="A20" s="251">
        <v>44713</v>
      </c>
      <c r="B20" s="252">
        <v>40525</v>
      </c>
      <c r="C20" s="253" t="s">
        <v>1224</v>
      </c>
      <c r="D20" s="368">
        <v>4.5720609746119001</v>
      </c>
      <c r="E20" s="252" t="s">
        <v>1179</v>
      </c>
      <c r="F20" s="254">
        <f t="shared" ref="F20" si="3">D20*1000</f>
        <v>4572.0609746118998</v>
      </c>
      <c r="G20" s="255">
        <f t="shared" ref="G20" si="4">F20*0.17</f>
        <v>777.250365684023</v>
      </c>
      <c r="H20" s="255">
        <f>(F20+G20)*0.167</f>
        <v>893.33499382941909</v>
      </c>
      <c r="I20" s="256">
        <f t="shared" ref="I20" si="5">F20+G20+H20</f>
        <v>6242.646334125342</v>
      </c>
      <c r="K20" s="83"/>
    </row>
    <row r="21" spans="1:11" ht="15" thickBot="1" x14ac:dyDescent="0.35">
      <c r="A21" s="81"/>
      <c r="B21" s="450"/>
      <c r="C21" s="450"/>
      <c r="D21" s="461"/>
      <c r="E21" s="452"/>
      <c r="F21" s="462"/>
      <c r="G21" s="463"/>
      <c r="H21" s="458"/>
      <c r="I21" s="354"/>
      <c r="K21" s="83"/>
    </row>
    <row r="22" spans="1:11" x14ac:dyDescent="0.3">
      <c r="A22" s="727" t="s">
        <v>1206</v>
      </c>
      <c r="B22" s="728"/>
      <c r="C22" s="728"/>
      <c r="D22" s="728"/>
      <c r="E22" s="728"/>
      <c r="F22" s="728"/>
      <c r="G22" s="729"/>
      <c r="H22" s="458"/>
      <c r="I22" s="354"/>
    </row>
    <row r="23" spans="1:11" x14ac:dyDescent="0.3">
      <c r="A23" s="730" t="s">
        <v>1207</v>
      </c>
      <c r="B23" s="731"/>
      <c r="C23" s="731"/>
      <c r="D23" s="731"/>
      <c r="E23" s="731"/>
      <c r="F23" s="731"/>
      <c r="G23" s="732"/>
      <c r="H23" s="458"/>
      <c r="I23" s="354"/>
    </row>
    <row r="24" spans="1:11" x14ac:dyDescent="0.3">
      <c r="A24" s="730" t="s">
        <v>1208</v>
      </c>
      <c r="B24" s="731"/>
      <c r="C24" s="731"/>
      <c r="D24" s="731"/>
      <c r="E24" s="731"/>
      <c r="F24" s="731"/>
      <c r="G24" s="732"/>
      <c r="H24" s="458"/>
      <c r="I24" s="354"/>
    </row>
    <row r="25" spans="1:11" x14ac:dyDescent="0.3">
      <c r="A25" s="733" t="s">
        <v>1209</v>
      </c>
      <c r="B25" s="734"/>
      <c r="C25" s="734"/>
      <c r="D25" s="734"/>
      <c r="E25" s="734" t="s">
        <v>1210</v>
      </c>
      <c r="F25" s="734"/>
      <c r="G25" s="735"/>
      <c r="H25" s="458"/>
      <c r="I25" s="354"/>
    </row>
    <row r="26" spans="1:11" x14ac:dyDescent="0.3">
      <c r="A26" s="359">
        <v>1</v>
      </c>
      <c r="B26" s="708" t="s">
        <v>1211</v>
      </c>
      <c r="C26" s="708"/>
      <c r="D26" s="360"/>
      <c r="E26" s="736">
        <v>270.23700000000002</v>
      </c>
      <c r="F26" s="736"/>
      <c r="G26" s="737"/>
      <c r="H26" s="458"/>
      <c r="I26" s="354"/>
    </row>
    <row r="27" spans="1:11" x14ac:dyDescent="0.3">
      <c r="A27" s="359">
        <v>2</v>
      </c>
      <c r="B27" s="708" t="s">
        <v>1212</v>
      </c>
      <c r="C27" s="708"/>
      <c r="D27" s="361">
        <v>44743</v>
      </c>
      <c r="E27" s="706">
        <v>471.53300000000002</v>
      </c>
      <c r="F27" s="706"/>
      <c r="G27" s="707"/>
      <c r="H27" s="458"/>
      <c r="I27" s="354"/>
    </row>
    <row r="28" spans="1:11" x14ac:dyDescent="0.3">
      <c r="A28" s="359">
        <v>3</v>
      </c>
      <c r="B28" s="708" t="s">
        <v>1213</v>
      </c>
      <c r="C28" s="708"/>
      <c r="D28" s="153">
        <v>260</v>
      </c>
      <c r="E28" s="578"/>
      <c r="F28" s="578"/>
      <c r="G28" s="709"/>
      <c r="H28" s="458"/>
      <c r="I28" s="354"/>
    </row>
    <row r="29" spans="1:11" ht="15" thickBot="1" x14ac:dyDescent="0.35">
      <c r="A29" s="710" t="s">
        <v>1214</v>
      </c>
      <c r="B29" s="711"/>
      <c r="C29" s="711"/>
      <c r="D29" s="711"/>
      <c r="E29" s="712">
        <f>((26.939+(0.253*D28))*(E27/E26))</f>
        <v>161.78416807098952</v>
      </c>
      <c r="F29" s="712"/>
      <c r="G29" s="713"/>
      <c r="H29" s="458"/>
      <c r="I29" s="354"/>
    </row>
    <row r="30" spans="1:11" x14ac:dyDescent="0.3">
      <c r="A30" s="81"/>
      <c r="B30" s="450"/>
      <c r="C30" s="450"/>
      <c r="D30" s="461"/>
      <c r="E30" s="452"/>
      <c r="F30" s="462"/>
      <c r="G30" s="463"/>
      <c r="H30" s="458"/>
      <c r="I30" s="354"/>
    </row>
    <row r="31" spans="1:11" ht="14.4" customHeight="1" x14ac:dyDescent="0.3">
      <c r="A31" s="703"/>
      <c r="B31" s="704"/>
      <c r="C31" s="704"/>
      <c r="D31" s="704"/>
      <c r="E31" s="704"/>
      <c r="F31" s="704"/>
      <c r="G31" s="704"/>
      <c r="H31" s="704"/>
      <c r="I31" s="705"/>
    </row>
    <row r="32" spans="1:11" ht="14.4" customHeight="1" x14ac:dyDescent="0.3">
      <c r="A32" s="481" t="s">
        <v>753</v>
      </c>
      <c r="B32" s="482"/>
      <c r="C32" s="482"/>
      <c r="D32" s="482"/>
      <c r="E32" s="482"/>
      <c r="F32" s="482"/>
      <c r="G32" s="482"/>
      <c r="H32" s="482"/>
      <c r="I32" s="483"/>
    </row>
    <row r="33" spans="1:9" x14ac:dyDescent="0.3">
      <c r="A33" s="484" t="s">
        <v>1311</v>
      </c>
      <c r="B33" s="485"/>
      <c r="C33" s="485"/>
      <c r="D33" s="485"/>
      <c r="E33" s="485"/>
      <c r="F33" s="485"/>
      <c r="G33" s="485"/>
      <c r="H33" s="485"/>
      <c r="I33" s="486"/>
    </row>
    <row r="34" spans="1:9" x14ac:dyDescent="0.3">
      <c r="A34" s="484" t="s">
        <v>1312</v>
      </c>
      <c r="B34" s="485"/>
      <c r="C34" s="485"/>
      <c r="D34" s="485"/>
      <c r="E34" s="485"/>
      <c r="F34" s="485"/>
      <c r="G34" s="485"/>
      <c r="H34" s="485"/>
      <c r="I34" s="486"/>
    </row>
    <row r="35" spans="1:9" ht="15" thickBot="1" x14ac:dyDescent="0.35">
      <c r="A35" s="121"/>
      <c r="B35" s="95"/>
      <c r="C35" s="122"/>
      <c r="D35" s="355"/>
      <c r="E35" s="3"/>
      <c r="F35" s="356"/>
      <c r="G35" s="357"/>
      <c r="H35" s="95"/>
      <c r="I35" s="358"/>
    </row>
    <row r="36" spans="1:9" x14ac:dyDescent="0.3">
      <c r="A36" s="81"/>
      <c r="B36" s="88"/>
      <c r="E36" s="156"/>
      <c r="F36" s="156"/>
      <c r="G36" s="156"/>
      <c r="H36" s="156"/>
      <c r="I36" s="89"/>
    </row>
  </sheetData>
  <sheetProtection selectLockedCells="1"/>
  <mergeCells count="33">
    <mergeCell ref="A23:G23"/>
    <mergeCell ref="A24:G24"/>
    <mergeCell ref="A25:D25"/>
    <mergeCell ref="E25:G25"/>
    <mergeCell ref="B26:C26"/>
    <mergeCell ref="E26:G26"/>
    <mergeCell ref="A13:I13"/>
    <mergeCell ref="C14:I14"/>
    <mergeCell ref="C15:I15"/>
    <mergeCell ref="A16:I16"/>
    <mergeCell ref="A22:G22"/>
    <mergeCell ref="A2:I2"/>
    <mergeCell ref="A1:I1"/>
    <mergeCell ref="A11:I11"/>
    <mergeCell ref="C12:I12"/>
    <mergeCell ref="A9:I9"/>
    <mergeCell ref="A4:I4"/>
    <mergeCell ref="A3:I3"/>
    <mergeCell ref="A5:I5"/>
    <mergeCell ref="A6:I6"/>
    <mergeCell ref="A7:I7"/>
    <mergeCell ref="A8:I8"/>
    <mergeCell ref="A10:I10"/>
    <mergeCell ref="A31:I31"/>
    <mergeCell ref="A32:I32"/>
    <mergeCell ref="A33:I33"/>
    <mergeCell ref="A34:I34"/>
    <mergeCell ref="E27:G27"/>
    <mergeCell ref="B28:C28"/>
    <mergeCell ref="E28:G28"/>
    <mergeCell ref="A29:D29"/>
    <mergeCell ref="E29:G29"/>
    <mergeCell ref="B27:C27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  <drawing r:id="rId2"/>
  <legacyDrawing r:id="rId3"/>
  <oleObjects>
    <mc:AlternateContent xmlns:mc="http://schemas.openxmlformats.org/markup-compatibility/2006">
      <mc:Choice Requires="x14">
        <oleObject shapeId="5122" r:id="rId4">
          <objectPr defaultSize="0" autoPict="0" r:id="rId5">
            <anchor moveWithCells="1" sizeWithCells="1">
              <from>
                <xdr:col>0</xdr:col>
                <xdr:colOff>99060</xdr:colOff>
                <xdr:row>10</xdr:row>
                <xdr:rowOff>30480</xdr:rowOff>
              </from>
              <to>
                <xdr:col>2</xdr:col>
                <xdr:colOff>30480</xdr:colOff>
                <xdr:row>15</xdr:row>
                <xdr:rowOff>76200</xdr:rowOff>
              </to>
            </anchor>
          </objectPr>
        </oleObject>
      </mc:Choice>
      <mc:Fallback>
        <oleObject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37" workbookViewId="0">
      <selection activeCell="B48" sqref="A48:G51"/>
    </sheetView>
  </sheetViews>
  <sheetFormatPr defaultRowHeight="14.4" x14ac:dyDescent="0.3"/>
  <cols>
    <col min="1" max="1" width="17.44140625" style="1" bestFit="1" customWidth="1"/>
    <col min="2" max="2" width="50.44140625" style="2" customWidth="1"/>
    <col min="3" max="3" width="13.109375" style="1" customWidth="1"/>
    <col min="4" max="4" width="12.6640625" style="1" customWidth="1"/>
    <col min="5" max="5" width="16.109375" style="1" bestFit="1" customWidth="1"/>
    <col min="6" max="7" width="8.5546875" style="1" customWidth="1"/>
  </cols>
  <sheetData>
    <row r="1" spans="1:9" x14ac:dyDescent="0.3">
      <c r="A1" s="757" t="str">
        <f>ORÇAMENTO!A1</f>
        <v>PREFEITURA MUNICIPAL DE CATALÃO</v>
      </c>
      <c r="B1" s="758"/>
      <c r="C1" s="758"/>
      <c r="D1" s="758"/>
      <c r="E1" s="758"/>
      <c r="F1" s="758"/>
      <c r="G1" s="759"/>
      <c r="H1" s="407"/>
      <c r="I1" s="407"/>
    </row>
    <row r="2" spans="1:9" x14ac:dyDescent="0.3">
      <c r="A2" s="760" t="str">
        <f>ORÇAMENTO!A2</f>
        <v>SECRETARIA MUNICIPAL DE TRANSPORTES</v>
      </c>
      <c r="B2" s="761"/>
      <c r="C2" s="761"/>
      <c r="D2" s="761"/>
      <c r="E2" s="761"/>
      <c r="F2" s="761"/>
      <c r="G2" s="762"/>
      <c r="H2" s="407"/>
      <c r="I2" s="407"/>
    </row>
    <row r="3" spans="1:9" x14ac:dyDescent="0.3">
      <c r="A3" s="760" t="s">
        <v>1286</v>
      </c>
      <c r="B3" s="761"/>
      <c r="C3" s="761"/>
      <c r="D3" s="761"/>
      <c r="E3" s="761"/>
      <c r="F3" s="761"/>
      <c r="G3" s="762"/>
      <c r="H3" s="407"/>
      <c r="I3" s="407"/>
    </row>
    <row r="4" spans="1:9" x14ac:dyDescent="0.3">
      <c r="A4" s="760" t="str">
        <f>ORÇAMENTO!A4</f>
        <v>ARCO VIÁRIO, KM 2, ZONA RURAL, CATALÃO - GO</v>
      </c>
      <c r="B4" s="761"/>
      <c r="C4" s="761"/>
      <c r="D4" s="761"/>
      <c r="E4" s="761"/>
      <c r="F4" s="761"/>
      <c r="G4" s="762"/>
      <c r="H4" s="407"/>
      <c r="I4" s="407"/>
    </row>
    <row r="5" spans="1:9" x14ac:dyDescent="0.3">
      <c r="A5" s="760" t="str">
        <f>ORÇAMENTO!A5</f>
        <v>GOINFRA - TABELA 174 - CUSTOS DE OBRAS CIVIS - JUL/2022 - COM DESENERAÇÃO</v>
      </c>
      <c r="B5" s="761"/>
      <c r="C5" s="761"/>
      <c r="D5" s="761"/>
      <c r="E5" s="761"/>
      <c r="F5" s="761"/>
      <c r="G5" s="762"/>
      <c r="H5" s="407"/>
      <c r="I5" s="407"/>
    </row>
    <row r="6" spans="1:9" x14ac:dyDescent="0.3">
      <c r="A6" s="760" t="str">
        <f>ORÇAMENTO!A6</f>
        <v>SINAPI - JUL/2022 - COMPOSIÇÃO SINTÉTICA - DESONERADA</v>
      </c>
      <c r="B6" s="761"/>
      <c r="C6" s="761"/>
      <c r="D6" s="761"/>
      <c r="E6" s="761"/>
      <c r="F6" s="761"/>
      <c r="G6" s="762"/>
      <c r="H6" s="407"/>
      <c r="I6" s="407"/>
    </row>
    <row r="7" spans="1:9" x14ac:dyDescent="0.3">
      <c r="A7" s="760" t="str">
        <f>ORÇAMENTO!A7</f>
        <v>SINAPI - JUL/2022 - PREÇO DE INSUMOS - DESONERADA</v>
      </c>
      <c r="B7" s="761"/>
      <c r="C7" s="761"/>
      <c r="D7" s="761"/>
      <c r="E7" s="761"/>
      <c r="F7" s="761"/>
      <c r="G7" s="762"/>
      <c r="H7" s="407"/>
      <c r="I7" s="407"/>
    </row>
    <row r="8" spans="1:9" x14ac:dyDescent="0.3">
      <c r="A8" s="760" t="str">
        <f>ORÇAMENTO!A8</f>
        <v>GOINFRA - TABELA T77 - TERRAPLENAGEM, PAVIMENTAÇÃO E OBRAS DE ARTE ESPECIAIS - JUL/22 - COM DESONERAÇÃO</v>
      </c>
      <c r="B8" s="761"/>
      <c r="C8" s="761"/>
      <c r="D8" s="761"/>
      <c r="E8" s="761"/>
      <c r="F8" s="761"/>
      <c r="G8" s="762"/>
      <c r="H8" s="407"/>
      <c r="I8" s="407"/>
    </row>
    <row r="9" spans="1:9" x14ac:dyDescent="0.3">
      <c r="A9" s="405"/>
      <c r="B9" s="449"/>
      <c r="C9" s="449"/>
      <c r="D9" s="449"/>
      <c r="E9" s="449"/>
      <c r="F9" s="449"/>
      <c r="G9" s="406"/>
      <c r="H9" s="407"/>
      <c r="I9" s="407"/>
    </row>
    <row r="10" spans="1:9" ht="15" thickBot="1" x14ac:dyDescent="0.35">
      <c r="A10" s="666" t="str">
        <f>ORÇAMENTO!A12</f>
        <v>CATALÃO 20/07/2022</v>
      </c>
      <c r="B10" s="667"/>
      <c r="C10" s="667"/>
      <c r="D10" s="667"/>
      <c r="E10" s="667"/>
      <c r="F10" s="667"/>
      <c r="G10" s="668"/>
      <c r="H10" s="407"/>
      <c r="I10" s="407"/>
    </row>
    <row r="11" spans="1:9" ht="15" thickBot="1" x14ac:dyDescent="0.35">
      <c r="A11" s="742" t="s">
        <v>857</v>
      </c>
      <c r="B11" s="743"/>
      <c r="C11" s="743"/>
      <c r="D11" s="743"/>
      <c r="E11" s="743"/>
      <c r="F11" s="743"/>
      <c r="G11" s="744"/>
    </row>
    <row r="12" spans="1:9" x14ac:dyDescent="0.3">
      <c r="A12" s="115" t="s">
        <v>542</v>
      </c>
      <c r="B12" s="116" t="s">
        <v>7</v>
      </c>
      <c r="C12" s="294" t="s">
        <v>543</v>
      </c>
      <c r="D12" s="117" t="s">
        <v>544</v>
      </c>
      <c r="E12" s="294" t="s">
        <v>545</v>
      </c>
      <c r="F12" s="747" t="s">
        <v>546</v>
      </c>
      <c r="G12" s="748"/>
    </row>
    <row r="13" spans="1:9" ht="28.8" x14ac:dyDescent="0.3">
      <c r="A13" s="113" t="s">
        <v>547</v>
      </c>
      <c r="B13" s="4" t="s">
        <v>548</v>
      </c>
      <c r="C13" s="13" t="s">
        <v>84</v>
      </c>
      <c r="D13" s="16">
        <v>58.35</v>
      </c>
      <c r="E13" s="295">
        <v>10.37</v>
      </c>
      <c r="F13" s="749">
        <f t="shared" ref="F13:F18" si="0">D13*E13</f>
        <v>605.08949999999993</v>
      </c>
      <c r="G13" s="750"/>
    </row>
    <row r="14" spans="1:9" ht="28.8" x14ac:dyDescent="0.3">
      <c r="A14" s="113" t="s">
        <v>549</v>
      </c>
      <c r="B14" s="4" t="s">
        <v>550</v>
      </c>
      <c r="C14" s="13" t="s">
        <v>84</v>
      </c>
      <c r="D14" s="16">
        <v>0.56549899999999997</v>
      </c>
      <c r="E14" s="295">
        <v>27.25</v>
      </c>
      <c r="F14" s="749">
        <f t="shared" si="0"/>
        <v>15.409847749999999</v>
      </c>
      <c r="G14" s="750"/>
    </row>
    <row r="15" spans="1:9" s="2" customFormat="1" ht="43.2" x14ac:dyDescent="0.3">
      <c r="A15" s="114" t="s">
        <v>551</v>
      </c>
      <c r="B15" s="14" t="s">
        <v>552</v>
      </c>
      <c r="C15" s="12" t="s">
        <v>84</v>
      </c>
      <c r="D15" s="17">
        <v>144.49</v>
      </c>
      <c r="E15" s="18">
        <v>10.92</v>
      </c>
      <c r="F15" s="749">
        <f t="shared" si="0"/>
        <v>1577.8308000000002</v>
      </c>
      <c r="G15" s="750"/>
    </row>
    <row r="16" spans="1:9" ht="28.8" x14ac:dyDescent="0.3">
      <c r="A16" s="113" t="s">
        <v>553</v>
      </c>
      <c r="B16" s="4" t="s">
        <v>554</v>
      </c>
      <c r="C16" s="13" t="s">
        <v>414</v>
      </c>
      <c r="D16" s="16">
        <v>3.0809000000000002</v>
      </c>
      <c r="E16" s="295">
        <v>24.2</v>
      </c>
      <c r="F16" s="749">
        <f t="shared" si="0"/>
        <v>74.557780000000008</v>
      </c>
      <c r="G16" s="750"/>
    </row>
    <row r="17" spans="1:7" x14ac:dyDescent="0.3">
      <c r="A17" s="113" t="s">
        <v>555</v>
      </c>
      <c r="B17" s="4" t="s">
        <v>556</v>
      </c>
      <c r="C17" s="13" t="s">
        <v>414</v>
      </c>
      <c r="D17" s="16">
        <v>0.71099999999999997</v>
      </c>
      <c r="E17" s="295">
        <v>16.05</v>
      </c>
      <c r="F17" s="749">
        <f t="shared" si="0"/>
        <v>11.41155</v>
      </c>
      <c r="G17" s="750"/>
    </row>
    <row r="18" spans="1:7" s="15" customFormat="1" x14ac:dyDescent="0.3">
      <c r="A18" s="114" t="s">
        <v>557</v>
      </c>
      <c r="B18" s="14" t="s">
        <v>558</v>
      </c>
      <c r="C18" s="12" t="s">
        <v>543</v>
      </c>
      <c r="D18" s="19">
        <v>1</v>
      </c>
      <c r="E18" s="139">
        <v>320.25</v>
      </c>
      <c r="F18" s="749">
        <f t="shared" si="0"/>
        <v>320.25</v>
      </c>
      <c r="G18" s="750"/>
    </row>
    <row r="19" spans="1:7" ht="15" thickBot="1" x14ac:dyDescent="0.35">
      <c r="A19" s="745" t="s">
        <v>58</v>
      </c>
      <c r="B19" s="746"/>
      <c r="C19" s="746"/>
      <c r="D19" s="746"/>
      <c r="E19" s="746"/>
      <c r="F19" s="749">
        <f>SUM(F13:F18)</f>
        <v>2604.5494777499998</v>
      </c>
      <c r="G19" s="750"/>
    </row>
    <row r="20" spans="1:7" ht="15" thickBot="1" x14ac:dyDescent="0.35">
      <c r="A20" s="74"/>
      <c r="B20" s="75"/>
      <c r="C20" s="76"/>
      <c r="D20" s="8"/>
      <c r="E20" s="77"/>
      <c r="F20" s="78"/>
      <c r="G20" s="108"/>
    </row>
    <row r="21" spans="1:7" x14ac:dyDescent="0.3">
      <c r="A21" s="738" t="s">
        <v>1243</v>
      </c>
      <c r="B21" s="739"/>
      <c r="C21" s="739"/>
      <c r="D21" s="739"/>
      <c r="E21" s="739"/>
      <c r="F21" s="739"/>
      <c r="G21" s="740"/>
    </row>
    <row r="22" spans="1:7" x14ac:dyDescent="0.3">
      <c r="A22" s="113" t="s">
        <v>542</v>
      </c>
      <c r="B22" s="367" t="s">
        <v>1239</v>
      </c>
      <c r="C22" s="377" t="s">
        <v>543</v>
      </c>
      <c r="D22" s="295" t="s">
        <v>1240</v>
      </c>
      <c r="E22" s="377" t="s">
        <v>545</v>
      </c>
      <c r="F22" s="681" t="s">
        <v>546</v>
      </c>
      <c r="G22" s="741"/>
    </row>
    <row r="23" spans="1:7" x14ac:dyDescent="0.3">
      <c r="A23" s="119"/>
      <c r="B23" s="367" t="s">
        <v>1241</v>
      </c>
      <c r="C23" s="377" t="s">
        <v>570</v>
      </c>
      <c r="D23" s="379">
        <v>1</v>
      </c>
      <c r="E23" s="380">
        <v>16412.16</v>
      </c>
      <c r="F23" s="749">
        <f t="shared" ref="F23" si="1">D23*E23</f>
        <v>16412.16</v>
      </c>
      <c r="G23" s="750"/>
    </row>
    <row r="24" spans="1:7" x14ac:dyDescent="0.3">
      <c r="A24" s="119"/>
      <c r="B24" s="173" t="s">
        <v>1234</v>
      </c>
      <c r="C24" s="13" t="s">
        <v>570</v>
      </c>
      <c r="D24" s="379">
        <v>1</v>
      </c>
      <c r="E24" s="380">
        <v>6221.73</v>
      </c>
      <c r="F24" s="749">
        <f t="shared" ref="F24:F29" si="2">D24*E24</f>
        <v>6221.73</v>
      </c>
      <c r="G24" s="750"/>
    </row>
    <row r="25" spans="1:7" x14ac:dyDescent="0.3">
      <c r="A25" s="119"/>
      <c r="B25" s="173" t="s">
        <v>1235</v>
      </c>
      <c r="C25" s="13" t="s">
        <v>570</v>
      </c>
      <c r="D25" s="379">
        <v>1</v>
      </c>
      <c r="E25" s="380">
        <v>3728.37</v>
      </c>
      <c r="F25" s="749">
        <f t="shared" si="2"/>
        <v>3728.37</v>
      </c>
      <c r="G25" s="750"/>
    </row>
    <row r="26" spans="1:7" x14ac:dyDescent="0.3">
      <c r="A26" s="119"/>
      <c r="B26" s="173" t="s">
        <v>1245</v>
      </c>
      <c r="C26" s="13" t="s">
        <v>570</v>
      </c>
      <c r="D26" s="379">
        <v>1</v>
      </c>
      <c r="E26" s="380">
        <v>3635.35</v>
      </c>
      <c r="F26" s="749">
        <f t="shared" ref="F26" si="3">D26*E26</f>
        <v>3635.35</v>
      </c>
      <c r="G26" s="750"/>
    </row>
    <row r="27" spans="1:7" x14ac:dyDescent="0.3">
      <c r="A27" s="119"/>
      <c r="B27" s="173" t="s">
        <v>1244</v>
      </c>
      <c r="C27" s="13" t="s">
        <v>570</v>
      </c>
      <c r="D27" s="379">
        <v>1</v>
      </c>
      <c r="E27" s="380">
        <v>8224.44</v>
      </c>
      <c r="F27" s="749">
        <f t="shared" si="2"/>
        <v>8224.44</v>
      </c>
      <c r="G27" s="750"/>
    </row>
    <row r="28" spans="1:7" x14ac:dyDescent="0.3">
      <c r="A28" s="119"/>
      <c r="B28" s="173" t="s">
        <v>1236</v>
      </c>
      <c r="C28" s="13" t="s">
        <v>570</v>
      </c>
      <c r="D28" s="379">
        <v>1</v>
      </c>
      <c r="E28" s="380">
        <v>6221.73</v>
      </c>
      <c r="F28" s="749">
        <f t="shared" si="2"/>
        <v>6221.73</v>
      </c>
      <c r="G28" s="750"/>
    </row>
    <row r="29" spans="1:7" x14ac:dyDescent="0.3">
      <c r="A29" s="119"/>
      <c r="B29" s="173" t="s">
        <v>1242</v>
      </c>
      <c r="C29" s="13" t="s">
        <v>570</v>
      </c>
      <c r="D29" s="379">
        <v>1</v>
      </c>
      <c r="E29" s="380">
        <v>2977.35</v>
      </c>
      <c r="F29" s="749">
        <f t="shared" si="2"/>
        <v>2977.35</v>
      </c>
      <c r="G29" s="750"/>
    </row>
    <row r="30" spans="1:7" ht="15" thickBot="1" x14ac:dyDescent="0.35">
      <c r="A30" s="751" t="s">
        <v>58</v>
      </c>
      <c r="B30" s="752"/>
      <c r="C30" s="752"/>
      <c r="D30" s="752"/>
      <c r="E30" s="752"/>
      <c r="F30" s="753">
        <f>SUM(F23:F29)</f>
        <v>47421.13</v>
      </c>
      <c r="G30" s="754"/>
    </row>
    <row r="31" spans="1:7" ht="15" thickBot="1" x14ac:dyDescent="0.35">
      <c r="A31" s="81"/>
      <c r="B31" s="450"/>
      <c r="C31" s="451"/>
      <c r="D31" s="452"/>
      <c r="E31" s="453"/>
      <c r="F31" s="454"/>
      <c r="G31" s="109"/>
    </row>
    <row r="32" spans="1:7" x14ac:dyDescent="0.3">
      <c r="A32" s="738" t="s">
        <v>1246</v>
      </c>
      <c r="B32" s="739"/>
      <c r="C32" s="739"/>
      <c r="D32" s="739"/>
      <c r="E32" s="739"/>
      <c r="F32" s="739"/>
      <c r="G32" s="740"/>
    </row>
    <row r="33" spans="1:7" x14ac:dyDescent="0.3">
      <c r="A33" s="113" t="s">
        <v>542</v>
      </c>
      <c r="B33" s="367" t="s">
        <v>1239</v>
      </c>
      <c r="C33" s="377" t="s">
        <v>543</v>
      </c>
      <c r="D33" s="295" t="s">
        <v>1240</v>
      </c>
      <c r="E33" s="377" t="s">
        <v>545</v>
      </c>
      <c r="F33" s="681" t="s">
        <v>546</v>
      </c>
      <c r="G33" s="741"/>
    </row>
    <row r="34" spans="1:7" x14ac:dyDescent="0.3">
      <c r="A34" s="119"/>
      <c r="B34" s="367" t="s">
        <v>1247</v>
      </c>
      <c r="C34" s="378" t="s">
        <v>1251</v>
      </c>
      <c r="D34" s="379">
        <v>12</v>
      </c>
      <c r="E34" s="380">
        <v>179.62</v>
      </c>
      <c r="F34" s="749">
        <f t="shared" ref="F34:F42" si="4">D34*E34</f>
        <v>2155.44</v>
      </c>
      <c r="G34" s="750"/>
    </row>
    <row r="35" spans="1:7" x14ac:dyDescent="0.3">
      <c r="A35" s="119"/>
      <c r="B35" s="173" t="s">
        <v>1248</v>
      </c>
      <c r="C35" s="378" t="s">
        <v>1170</v>
      </c>
      <c r="D35" s="379">
        <v>12</v>
      </c>
      <c r="E35" s="380">
        <v>1228.94</v>
      </c>
      <c r="F35" s="749">
        <f t="shared" si="4"/>
        <v>14747.28</v>
      </c>
      <c r="G35" s="750"/>
    </row>
    <row r="36" spans="1:7" x14ac:dyDescent="0.3">
      <c r="A36" s="119"/>
      <c r="B36" s="173" t="s">
        <v>1249</v>
      </c>
      <c r="C36" s="378" t="s">
        <v>1252</v>
      </c>
      <c r="D36" s="379">
        <v>4</v>
      </c>
      <c r="E36" s="380">
        <v>307.23</v>
      </c>
      <c r="F36" s="749">
        <f t="shared" si="4"/>
        <v>1228.92</v>
      </c>
      <c r="G36" s="750"/>
    </row>
    <row r="37" spans="1:7" x14ac:dyDescent="0.3">
      <c r="A37" s="119"/>
      <c r="B37" s="173" t="s">
        <v>1254</v>
      </c>
      <c r="C37" s="378" t="s">
        <v>1253</v>
      </c>
      <c r="D37" s="379">
        <v>1</v>
      </c>
      <c r="E37" s="380">
        <v>5575.99</v>
      </c>
      <c r="F37" s="749">
        <f t="shared" ref="F37:F39" si="5">D37*E37</f>
        <v>5575.99</v>
      </c>
      <c r="G37" s="750"/>
    </row>
    <row r="38" spans="1:7" x14ac:dyDescent="0.3">
      <c r="A38" s="119"/>
      <c r="B38" s="173" t="s">
        <v>1255</v>
      </c>
      <c r="C38" s="378" t="s">
        <v>1253</v>
      </c>
      <c r="D38" s="379">
        <v>1</v>
      </c>
      <c r="E38" s="380">
        <v>2710.41</v>
      </c>
      <c r="F38" s="749">
        <f t="shared" si="5"/>
        <v>2710.41</v>
      </c>
      <c r="G38" s="750"/>
    </row>
    <row r="39" spans="1:7" x14ac:dyDescent="0.3">
      <c r="A39" s="119"/>
      <c r="B39" s="173" t="s">
        <v>1257</v>
      </c>
      <c r="C39" s="378" t="s">
        <v>1253</v>
      </c>
      <c r="D39" s="379">
        <v>1</v>
      </c>
      <c r="E39" s="380">
        <v>18110.64</v>
      </c>
      <c r="F39" s="749">
        <f t="shared" si="5"/>
        <v>18110.64</v>
      </c>
      <c r="G39" s="750"/>
    </row>
    <row r="40" spans="1:7" x14ac:dyDescent="0.3">
      <c r="A40" s="119"/>
      <c r="B40" s="173" t="s">
        <v>1256</v>
      </c>
      <c r="C40" s="378" t="s">
        <v>1253</v>
      </c>
      <c r="D40" s="379">
        <v>1</v>
      </c>
      <c r="E40" s="380">
        <v>4669.58</v>
      </c>
      <c r="F40" s="749">
        <f t="shared" si="4"/>
        <v>4669.58</v>
      </c>
      <c r="G40" s="750"/>
    </row>
    <row r="41" spans="1:7" x14ac:dyDescent="0.3">
      <c r="A41" s="119"/>
      <c r="B41" s="173" t="s">
        <v>1250</v>
      </c>
      <c r="C41" s="378" t="s">
        <v>1258</v>
      </c>
      <c r="D41" s="379">
        <v>12800</v>
      </c>
      <c r="E41" s="380">
        <v>0.64</v>
      </c>
      <c r="F41" s="749">
        <f t="shared" si="4"/>
        <v>8192</v>
      </c>
      <c r="G41" s="750"/>
    </row>
    <row r="42" spans="1:7" x14ac:dyDescent="0.3">
      <c r="A42" s="119"/>
      <c r="B42" s="173" t="s">
        <v>1259</v>
      </c>
      <c r="C42" s="378" t="s">
        <v>1251</v>
      </c>
      <c r="D42" s="379">
        <v>7.5</v>
      </c>
      <c r="E42" s="382">
        <v>361.43</v>
      </c>
      <c r="F42" s="755">
        <f t="shared" si="4"/>
        <v>2710.7249999999999</v>
      </c>
      <c r="G42" s="756"/>
    </row>
    <row r="43" spans="1:7" ht="28.8" x14ac:dyDescent="0.3">
      <c r="A43" s="161">
        <v>10776</v>
      </c>
      <c r="B43" s="381" t="s">
        <v>62</v>
      </c>
      <c r="C43" s="378" t="s">
        <v>1170</v>
      </c>
      <c r="D43" s="379">
        <v>12</v>
      </c>
      <c r="E43" s="383">
        <v>648.42999999999995</v>
      </c>
      <c r="F43" s="755">
        <f t="shared" ref="F43" si="6">D43*E43</f>
        <v>7781.16</v>
      </c>
      <c r="G43" s="756"/>
    </row>
    <row r="44" spans="1:7" ht="28.8" x14ac:dyDescent="0.3">
      <c r="A44" s="161">
        <v>10779</v>
      </c>
      <c r="B44" s="381" t="s">
        <v>63</v>
      </c>
      <c r="C44" s="378" t="s">
        <v>1170</v>
      </c>
      <c r="D44" s="379">
        <v>12</v>
      </c>
      <c r="E44" s="383">
        <v>1037.5</v>
      </c>
      <c r="F44" s="755">
        <f t="shared" ref="F44" si="7">D44*E44</f>
        <v>12450</v>
      </c>
      <c r="G44" s="756"/>
    </row>
    <row r="45" spans="1:7" ht="15" thickBot="1" x14ac:dyDescent="0.35">
      <c r="A45" s="751" t="s">
        <v>58</v>
      </c>
      <c r="B45" s="752"/>
      <c r="C45" s="752"/>
      <c r="D45" s="752"/>
      <c r="E45" s="752"/>
      <c r="F45" s="753">
        <f>SUM(F34:F44)</f>
        <v>80332.14499999999</v>
      </c>
      <c r="G45" s="754"/>
    </row>
    <row r="46" spans="1:7" x14ac:dyDescent="0.3">
      <c r="A46" s="81"/>
      <c r="B46" s="450"/>
      <c r="C46" s="451"/>
      <c r="D46" s="452"/>
      <c r="E46" s="453"/>
      <c r="F46" s="454"/>
      <c r="G46" s="109"/>
    </row>
    <row r="47" spans="1:7" x14ac:dyDescent="0.3">
      <c r="A47" s="81"/>
      <c r="B47" s="450"/>
      <c r="C47" s="451"/>
      <c r="D47" s="452"/>
      <c r="E47" s="453"/>
      <c r="F47" s="454"/>
      <c r="G47" s="109"/>
    </row>
    <row r="48" spans="1:7" x14ac:dyDescent="0.3">
      <c r="A48" s="81"/>
      <c r="B48" s="450"/>
      <c r="C48" s="451"/>
      <c r="D48" s="452"/>
      <c r="E48" s="453"/>
      <c r="F48" s="454"/>
      <c r="G48" s="109"/>
    </row>
    <row r="49" spans="1:7" ht="14.4" customHeight="1" x14ac:dyDescent="0.3">
      <c r="A49" s="481" t="s">
        <v>753</v>
      </c>
      <c r="B49" s="482"/>
      <c r="C49" s="482"/>
      <c r="D49" s="482"/>
      <c r="E49" s="482"/>
      <c r="F49" s="482"/>
      <c r="G49" s="483"/>
    </row>
    <row r="50" spans="1:7" x14ac:dyDescent="0.3">
      <c r="A50" s="484" t="s">
        <v>1311</v>
      </c>
      <c r="B50" s="485"/>
      <c r="C50" s="485"/>
      <c r="D50" s="485"/>
      <c r="E50" s="485"/>
      <c r="F50" s="485"/>
      <c r="G50" s="486"/>
    </row>
    <row r="51" spans="1:7" x14ac:dyDescent="0.3">
      <c r="A51" s="484" t="s">
        <v>1312</v>
      </c>
      <c r="B51" s="485"/>
      <c r="C51" s="485"/>
      <c r="D51" s="485"/>
      <c r="E51" s="485"/>
      <c r="F51" s="485"/>
      <c r="G51" s="486"/>
    </row>
    <row r="52" spans="1:7" x14ac:dyDescent="0.3">
      <c r="A52" s="87"/>
      <c r="B52" s="455"/>
      <c r="C52" s="451"/>
      <c r="D52" s="452"/>
      <c r="E52" s="456"/>
      <c r="F52" s="455"/>
      <c r="G52" s="110"/>
    </row>
    <row r="53" spans="1:7" x14ac:dyDescent="0.3">
      <c r="A53" s="87"/>
      <c r="B53" s="450"/>
      <c r="C53" s="451"/>
      <c r="D53" s="452"/>
      <c r="E53" s="457"/>
      <c r="F53" s="458"/>
      <c r="G53" s="110"/>
    </row>
    <row r="54" spans="1:7" x14ac:dyDescent="0.3">
      <c r="A54" s="91"/>
      <c r="B54" s="455"/>
      <c r="C54" s="451"/>
      <c r="D54" s="452"/>
      <c r="E54" s="456"/>
      <c r="F54" s="455"/>
      <c r="G54" s="111"/>
    </row>
    <row r="55" spans="1:7" ht="15" thickBot="1" x14ac:dyDescent="0.35">
      <c r="A55" s="93"/>
      <c r="B55" s="94"/>
      <c r="C55" s="95"/>
      <c r="D55" s="94"/>
      <c r="E55" s="96"/>
      <c r="F55" s="94"/>
      <c r="G55" s="112"/>
    </row>
    <row r="56" spans="1:7" x14ac:dyDescent="0.3">
      <c r="A56" s="107"/>
      <c r="B56" s="107"/>
      <c r="C56" s="107"/>
      <c r="D56" s="107"/>
      <c r="E56" s="107"/>
      <c r="F56" s="100"/>
      <c r="G56" s="100"/>
    </row>
  </sheetData>
  <sheetProtection selectLockedCells="1"/>
  <mergeCells count="48">
    <mergeCell ref="F37:G37"/>
    <mergeCell ref="F40:G40"/>
    <mergeCell ref="F41:G41"/>
    <mergeCell ref="F42:G42"/>
    <mergeCell ref="A45:E45"/>
    <mergeCell ref="F45:G45"/>
    <mergeCell ref="F43:G43"/>
    <mergeCell ref="F38:G38"/>
    <mergeCell ref="F39:G39"/>
    <mergeCell ref="F33:G33"/>
    <mergeCell ref="F34:G34"/>
    <mergeCell ref="F35:G35"/>
    <mergeCell ref="F36:G36"/>
    <mergeCell ref="A1:G1"/>
    <mergeCell ref="A2:G2"/>
    <mergeCell ref="A3:G3"/>
    <mergeCell ref="A4:G4"/>
    <mergeCell ref="A5:G5"/>
    <mergeCell ref="A6:G6"/>
    <mergeCell ref="A7:G7"/>
    <mergeCell ref="A8:G8"/>
    <mergeCell ref="A10:G10"/>
    <mergeCell ref="A11:G11"/>
    <mergeCell ref="A19:E19"/>
    <mergeCell ref="F12:G12"/>
    <mergeCell ref="F13:G13"/>
    <mergeCell ref="F14:G14"/>
    <mergeCell ref="F15:G15"/>
    <mergeCell ref="F16:G16"/>
    <mergeCell ref="F17:G17"/>
    <mergeCell ref="F18:G18"/>
    <mergeCell ref="F19:G19"/>
    <mergeCell ref="A49:G49"/>
    <mergeCell ref="A50:G50"/>
    <mergeCell ref="A51:G51"/>
    <mergeCell ref="A21:G21"/>
    <mergeCell ref="F22:G22"/>
    <mergeCell ref="A30:E30"/>
    <mergeCell ref="F30:G30"/>
    <mergeCell ref="F23:G23"/>
    <mergeCell ref="F24:G24"/>
    <mergeCell ref="F25:G25"/>
    <mergeCell ref="F27:G27"/>
    <mergeCell ref="F28:G28"/>
    <mergeCell ref="F29:G29"/>
    <mergeCell ref="F26:G26"/>
    <mergeCell ref="F44:G44"/>
    <mergeCell ref="A32:G32"/>
  </mergeCells>
  <pageMargins left="0.511811024" right="0.511811024" top="0.78740157499999996" bottom="0.78740157499999996" header="0.31496062000000002" footer="0.31496062000000002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="55" zoomScaleNormal="55" workbookViewId="0">
      <selection activeCell="A35" sqref="A1:I35"/>
    </sheetView>
  </sheetViews>
  <sheetFormatPr defaultRowHeight="13.8" x14ac:dyDescent="0.3"/>
  <cols>
    <col min="1" max="2" width="12.6640625" style="400" customWidth="1"/>
    <col min="3" max="3" width="16.6640625" style="400" customWidth="1"/>
    <col min="4" max="4" width="77.5546875" style="385" customWidth="1"/>
    <col min="5" max="5" width="9" style="400" bestFit="1" customWidth="1"/>
    <col min="6" max="6" width="11.88671875" style="397" customWidth="1"/>
    <col min="7" max="7" width="11.88671875" style="399" customWidth="1"/>
    <col min="8" max="8" width="8.109375" style="397" customWidth="1"/>
    <col min="9" max="9" width="13.6640625" style="397" customWidth="1"/>
    <col min="10" max="10" width="11.6640625" style="385" customWidth="1"/>
    <col min="11" max="11" width="11" style="385" customWidth="1"/>
    <col min="12" max="12" width="14.88671875" style="385" bestFit="1" customWidth="1"/>
    <col min="13" max="13" width="15" style="385" bestFit="1" customWidth="1"/>
    <col min="14" max="14" width="12.33203125" style="385" bestFit="1" customWidth="1"/>
    <col min="15" max="15" width="12.5546875" style="385" bestFit="1" customWidth="1"/>
    <col min="16" max="256" width="8.88671875" style="385"/>
    <col min="257" max="257" width="15.5546875" style="385" customWidth="1"/>
    <col min="258" max="258" width="14" style="385" customWidth="1"/>
    <col min="259" max="259" width="16.6640625" style="385" customWidth="1"/>
    <col min="260" max="260" width="84.109375" style="385" customWidth="1"/>
    <col min="261" max="261" width="6.44140625" style="385" customWidth="1"/>
    <col min="262" max="263" width="11.88671875" style="385" customWidth="1"/>
    <col min="264" max="264" width="8.109375" style="385" customWidth="1"/>
    <col min="265" max="265" width="13.6640625" style="385" customWidth="1"/>
    <col min="266" max="266" width="11.6640625" style="385" customWidth="1"/>
    <col min="267" max="267" width="11" style="385" customWidth="1"/>
    <col min="268" max="268" width="14.88671875" style="385" bestFit="1" customWidth="1"/>
    <col min="269" max="269" width="15" style="385" bestFit="1" customWidth="1"/>
    <col min="270" max="270" width="12.33203125" style="385" bestFit="1" customWidth="1"/>
    <col min="271" max="271" width="12.5546875" style="385" bestFit="1" customWidth="1"/>
    <col min="272" max="512" width="8.88671875" style="385"/>
    <col min="513" max="513" width="15.5546875" style="385" customWidth="1"/>
    <col min="514" max="514" width="14" style="385" customWidth="1"/>
    <col min="515" max="515" width="16.6640625" style="385" customWidth="1"/>
    <col min="516" max="516" width="84.109375" style="385" customWidth="1"/>
    <col min="517" max="517" width="6.44140625" style="385" customWidth="1"/>
    <col min="518" max="519" width="11.88671875" style="385" customWidth="1"/>
    <col min="520" max="520" width="8.109375" style="385" customWidth="1"/>
    <col min="521" max="521" width="13.6640625" style="385" customWidth="1"/>
    <col min="522" max="522" width="11.6640625" style="385" customWidth="1"/>
    <col min="523" max="523" width="11" style="385" customWidth="1"/>
    <col min="524" max="524" width="14.88671875" style="385" bestFit="1" customWidth="1"/>
    <col min="525" max="525" width="15" style="385" bestFit="1" customWidth="1"/>
    <col min="526" max="526" width="12.33203125" style="385" bestFit="1" customWidth="1"/>
    <col min="527" max="527" width="12.5546875" style="385" bestFit="1" customWidth="1"/>
    <col min="528" max="768" width="8.88671875" style="385"/>
    <col min="769" max="769" width="15.5546875" style="385" customWidth="1"/>
    <col min="770" max="770" width="14" style="385" customWidth="1"/>
    <col min="771" max="771" width="16.6640625" style="385" customWidth="1"/>
    <col min="772" max="772" width="84.109375" style="385" customWidth="1"/>
    <col min="773" max="773" width="6.44140625" style="385" customWidth="1"/>
    <col min="774" max="775" width="11.88671875" style="385" customWidth="1"/>
    <col min="776" max="776" width="8.109375" style="385" customWidth="1"/>
    <col min="777" max="777" width="13.6640625" style="385" customWidth="1"/>
    <col min="778" max="778" width="11.6640625" style="385" customWidth="1"/>
    <col min="779" max="779" width="11" style="385" customWidth="1"/>
    <col min="780" max="780" width="14.88671875" style="385" bestFit="1" customWidth="1"/>
    <col min="781" max="781" width="15" style="385" bestFit="1" customWidth="1"/>
    <col min="782" max="782" width="12.33203125" style="385" bestFit="1" customWidth="1"/>
    <col min="783" max="783" width="12.5546875" style="385" bestFit="1" customWidth="1"/>
    <col min="784" max="1024" width="8.88671875" style="385"/>
    <col min="1025" max="1025" width="15.5546875" style="385" customWidth="1"/>
    <col min="1026" max="1026" width="14" style="385" customWidth="1"/>
    <col min="1027" max="1027" width="16.6640625" style="385" customWidth="1"/>
    <col min="1028" max="1028" width="84.109375" style="385" customWidth="1"/>
    <col min="1029" max="1029" width="6.44140625" style="385" customWidth="1"/>
    <col min="1030" max="1031" width="11.88671875" style="385" customWidth="1"/>
    <col min="1032" max="1032" width="8.109375" style="385" customWidth="1"/>
    <col min="1033" max="1033" width="13.6640625" style="385" customWidth="1"/>
    <col min="1034" max="1034" width="11.6640625" style="385" customWidth="1"/>
    <col min="1035" max="1035" width="11" style="385" customWidth="1"/>
    <col min="1036" max="1036" width="14.88671875" style="385" bestFit="1" customWidth="1"/>
    <col min="1037" max="1037" width="15" style="385" bestFit="1" customWidth="1"/>
    <col min="1038" max="1038" width="12.33203125" style="385" bestFit="1" customWidth="1"/>
    <col min="1039" max="1039" width="12.5546875" style="385" bestFit="1" customWidth="1"/>
    <col min="1040" max="1280" width="8.88671875" style="385"/>
    <col min="1281" max="1281" width="15.5546875" style="385" customWidth="1"/>
    <col min="1282" max="1282" width="14" style="385" customWidth="1"/>
    <col min="1283" max="1283" width="16.6640625" style="385" customWidth="1"/>
    <col min="1284" max="1284" width="84.109375" style="385" customWidth="1"/>
    <col min="1285" max="1285" width="6.44140625" style="385" customWidth="1"/>
    <col min="1286" max="1287" width="11.88671875" style="385" customWidth="1"/>
    <col min="1288" max="1288" width="8.109375" style="385" customWidth="1"/>
    <col min="1289" max="1289" width="13.6640625" style="385" customWidth="1"/>
    <col min="1290" max="1290" width="11.6640625" style="385" customWidth="1"/>
    <col min="1291" max="1291" width="11" style="385" customWidth="1"/>
    <col min="1292" max="1292" width="14.88671875" style="385" bestFit="1" customWidth="1"/>
    <col min="1293" max="1293" width="15" style="385" bestFit="1" customWidth="1"/>
    <col min="1294" max="1294" width="12.33203125" style="385" bestFit="1" customWidth="1"/>
    <col min="1295" max="1295" width="12.5546875" style="385" bestFit="1" customWidth="1"/>
    <col min="1296" max="1536" width="8.88671875" style="385"/>
    <col min="1537" max="1537" width="15.5546875" style="385" customWidth="1"/>
    <col min="1538" max="1538" width="14" style="385" customWidth="1"/>
    <col min="1539" max="1539" width="16.6640625" style="385" customWidth="1"/>
    <col min="1540" max="1540" width="84.109375" style="385" customWidth="1"/>
    <col min="1541" max="1541" width="6.44140625" style="385" customWidth="1"/>
    <col min="1542" max="1543" width="11.88671875" style="385" customWidth="1"/>
    <col min="1544" max="1544" width="8.109375" style="385" customWidth="1"/>
    <col min="1545" max="1545" width="13.6640625" style="385" customWidth="1"/>
    <col min="1546" max="1546" width="11.6640625" style="385" customWidth="1"/>
    <col min="1547" max="1547" width="11" style="385" customWidth="1"/>
    <col min="1548" max="1548" width="14.88671875" style="385" bestFit="1" customWidth="1"/>
    <col min="1549" max="1549" width="15" style="385" bestFit="1" customWidth="1"/>
    <col min="1550" max="1550" width="12.33203125" style="385" bestFit="1" customWidth="1"/>
    <col min="1551" max="1551" width="12.5546875" style="385" bestFit="1" customWidth="1"/>
    <col min="1552" max="1792" width="8.88671875" style="385"/>
    <col min="1793" max="1793" width="15.5546875" style="385" customWidth="1"/>
    <col min="1794" max="1794" width="14" style="385" customWidth="1"/>
    <col min="1795" max="1795" width="16.6640625" style="385" customWidth="1"/>
    <col min="1796" max="1796" width="84.109375" style="385" customWidth="1"/>
    <col min="1797" max="1797" width="6.44140625" style="385" customWidth="1"/>
    <col min="1798" max="1799" width="11.88671875" style="385" customWidth="1"/>
    <col min="1800" max="1800" width="8.109375" style="385" customWidth="1"/>
    <col min="1801" max="1801" width="13.6640625" style="385" customWidth="1"/>
    <col min="1802" max="1802" width="11.6640625" style="385" customWidth="1"/>
    <col min="1803" max="1803" width="11" style="385" customWidth="1"/>
    <col min="1804" max="1804" width="14.88671875" style="385" bestFit="1" customWidth="1"/>
    <col min="1805" max="1805" width="15" style="385" bestFit="1" customWidth="1"/>
    <col min="1806" max="1806" width="12.33203125" style="385" bestFit="1" customWidth="1"/>
    <col min="1807" max="1807" width="12.5546875" style="385" bestFit="1" customWidth="1"/>
    <col min="1808" max="2048" width="8.88671875" style="385"/>
    <col min="2049" max="2049" width="15.5546875" style="385" customWidth="1"/>
    <col min="2050" max="2050" width="14" style="385" customWidth="1"/>
    <col min="2051" max="2051" width="16.6640625" style="385" customWidth="1"/>
    <col min="2052" max="2052" width="84.109375" style="385" customWidth="1"/>
    <col min="2053" max="2053" width="6.44140625" style="385" customWidth="1"/>
    <col min="2054" max="2055" width="11.88671875" style="385" customWidth="1"/>
    <col min="2056" max="2056" width="8.109375" style="385" customWidth="1"/>
    <col min="2057" max="2057" width="13.6640625" style="385" customWidth="1"/>
    <col min="2058" max="2058" width="11.6640625" style="385" customWidth="1"/>
    <col min="2059" max="2059" width="11" style="385" customWidth="1"/>
    <col min="2060" max="2060" width="14.88671875" style="385" bestFit="1" customWidth="1"/>
    <col min="2061" max="2061" width="15" style="385" bestFit="1" customWidth="1"/>
    <col min="2062" max="2062" width="12.33203125" style="385" bestFit="1" customWidth="1"/>
    <col min="2063" max="2063" width="12.5546875" style="385" bestFit="1" customWidth="1"/>
    <col min="2064" max="2304" width="8.88671875" style="385"/>
    <col min="2305" max="2305" width="15.5546875" style="385" customWidth="1"/>
    <col min="2306" max="2306" width="14" style="385" customWidth="1"/>
    <col min="2307" max="2307" width="16.6640625" style="385" customWidth="1"/>
    <col min="2308" max="2308" width="84.109375" style="385" customWidth="1"/>
    <col min="2309" max="2309" width="6.44140625" style="385" customWidth="1"/>
    <col min="2310" max="2311" width="11.88671875" style="385" customWidth="1"/>
    <col min="2312" max="2312" width="8.109375" style="385" customWidth="1"/>
    <col min="2313" max="2313" width="13.6640625" style="385" customWidth="1"/>
    <col min="2314" max="2314" width="11.6640625" style="385" customWidth="1"/>
    <col min="2315" max="2315" width="11" style="385" customWidth="1"/>
    <col min="2316" max="2316" width="14.88671875" style="385" bestFit="1" customWidth="1"/>
    <col min="2317" max="2317" width="15" style="385" bestFit="1" customWidth="1"/>
    <col min="2318" max="2318" width="12.33203125" style="385" bestFit="1" customWidth="1"/>
    <col min="2319" max="2319" width="12.5546875" style="385" bestFit="1" customWidth="1"/>
    <col min="2320" max="2560" width="8.88671875" style="385"/>
    <col min="2561" max="2561" width="15.5546875" style="385" customWidth="1"/>
    <col min="2562" max="2562" width="14" style="385" customWidth="1"/>
    <col min="2563" max="2563" width="16.6640625" style="385" customWidth="1"/>
    <col min="2564" max="2564" width="84.109375" style="385" customWidth="1"/>
    <col min="2565" max="2565" width="6.44140625" style="385" customWidth="1"/>
    <col min="2566" max="2567" width="11.88671875" style="385" customWidth="1"/>
    <col min="2568" max="2568" width="8.109375" style="385" customWidth="1"/>
    <col min="2569" max="2569" width="13.6640625" style="385" customWidth="1"/>
    <col min="2570" max="2570" width="11.6640625" style="385" customWidth="1"/>
    <col min="2571" max="2571" width="11" style="385" customWidth="1"/>
    <col min="2572" max="2572" width="14.88671875" style="385" bestFit="1" customWidth="1"/>
    <col min="2573" max="2573" width="15" style="385" bestFit="1" customWidth="1"/>
    <col min="2574" max="2574" width="12.33203125" style="385" bestFit="1" customWidth="1"/>
    <col min="2575" max="2575" width="12.5546875" style="385" bestFit="1" customWidth="1"/>
    <col min="2576" max="2816" width="8.88671875" style="385"/>
    <col min="2817" max="2817" width="15.5546875" style="385" customWidth="1"/>
    <col min="2818" max="2818" width="14" style="385" customWidth="1"/>
    <col min="2819" max="2819" width="16.6640625" style="385" customWidth="1"/>
    <col min="2820" max="2820" width="84.109375" style="385" customWidth="1"/>
    <col min="2821" max="2821" width="6.44140625" style="385" customWidth="1"/>
    <col min="2822" max="2823" width="11.88671875" style="385" customWidth="1"/>
    <col min="2824" max="2824" width="8.109375" style="385" customWidth="1"/>
    <col min="2825" max="2825" width="13.6640625" style="385" customWidth="1"/>
    <col min="2826" max="2826" width="11.6640625" style="385" customWidth="1"/>
    <col min="2827" max="2827" width="11" style="385" customWidth="1"/>
    <col min="2828" max="2828" width="14.88671875" style="385" bestFit="1" customWidth="1"/>
    <col min="2829" max="2829" width="15" style="385" bestFit="1" customWidth="1"/>
    <col min="2830" max="2830" width="12.33203125" style="385" bestFit="1" customWidth="1"/>
    <col min="2831" max="2831" width="12.5546875" style="385" bestFit="1" customWidth="1"/>
    <col min="2832" max="3072" width="8.88671875" style="385"/>
    <col min="3073" max="3073" width="15.5546875" style="385" customWidth="1"/>
    <col min="3074" max="3074" width="14" style="385" customWidth="1"/>
    <col min="3075" max="3075" width="16.6640625" style="385" customWidth="1"/>
    <col min="3076" max="3076" width="84.109375" style="385" customWidth="1"/>
    <col min="3077" max="3077" width="6.44140625" style="385" customWidth="1"/>
    <col min="3078" max="3079" width="11.88671875" style="385" customWidth="1"/>
    <col min="3080" max="3080" width="8.109375" style="385" customWidth="1"/>
    <col min="3081" max="3081" width="13.6640625" style="385" customWidth="1"/>
    <col min="3082" max="3082" width="11.6640625" style="385" customWidth="1"/>
    <col min="3083" max="3083" width="11" style="385" customWidth="1"/>
    <col min="3084" max="3084" width="14.88671875" style="385" bestFit="1" customWidth="1"/>
    <col min="3085" max="3085" width="15" style="385" bestFit="1" customWidth="1"/>
    <col min="3086" max="3086" width="12.33203125" style="385" bestFit="1" customWidth="1"/>
    <col min="3087" max="3087" width="12.5546875" style="385" bestFit="1" customWidth="1"/>
    <col min="3088" max="3328" width="8.88671875" style="385"/>
    <col min="3329" max="3329" width="15.5546875" style="385" customWidth="1"/>
    <col min="3330" max="3330" width="14" style="385" customWidth="1"/>
    <col min="3331" max="3331" width="16.6640625" style="385" customWidth="1"/>
    <col min="3332" max="3332" width="84.109375" style="385" customWidth="1"/>
    <col min="3333" max="3333" width="6.44140625" style="385" customWidth="1"/>
    <col min="3334" max="3335" width="11.88671875" style="385" customWidth="1"/>
    <col min="3336" max="3336" width="8.109375" style="385" customWidth="1"/>
    <col min="3337" max="3337" width="13.6640625" style="385" customWidth="1"/>
    <col min="3338" max="3338" width="11.6640625" style="385" customWidth="1"/>
    <col min="3339" max="3339" width="11" style="385" customWidth="1"/>
    <col min="3340" max="3340" width="14.88671875" style="385" bestFit="1" customWidth="1"/>
    <col min="3341" max="3341" width="15" style="385" bestFit="1" customWidth="1"/>
    <col min="3342" max="3342" width="12.33203125" style="385" bestFit="1" customWidth="1"/>
    <col min="3343" max="3343" width="12.5546875" style="385" bestFit="1" customWidth="1"/>
    <col min="3344" max="3584" width="8.88671875" style="385"/>
    <col min="3585" max="3585" width="15.5546875" style="385" customWidth="1"/>
    <col min="3586" max="3586" width="14" style="385" customWidth="1"/>
    <col min="3587" max="3587" width="16.6640625" style="385" customWidth="1"/>
    <col min="3588" max="3588" width="84.109375" style="385" customWidth="1"/>
    <col min="3589" max="3589" width="6.44140625" style="385" customWidth="1"/>
    <col min="3590" max="3591" width="11.88671875" style="385" customWidth="1"/>
    <col min="3592" max="3592" width="8.109375" style="385" customWidth="1"/>
    <col min="3593" max="3593" width="13.6640625" style="385" customWidth="1"/>
    <col min="3594" max="3594" width="11.6640625" style="385" customWidth="1"/>
    <col min="3595" max="3595" width="11" style="385" customWidth="1"/>
    <col min="3596" max="3596" width="14.88671875" style="385" bestFit="1" customWidth="1"/>
    <col min="3597" max="3597" width="15" style="385" bestFit="1" customWidth="1"/>
    <col min="3598" max="3598" width="12.33203125" style="385" bestFit="1" customWidth="1"/>
    <col min="3599" max="3599" width="12.5546875" style="385" bestFit="1" customWidth="1"/>
    <col min="3600" max="3840" width="8.88671875" style="385"/>
    <col min="3841" max="3841" width="15.5546875" style="385" customWidth="1"/>
    <col min="3842" max="3842" width="14" style="385" customWidth="1"/>
    <col min="3843" max="3843" width="16.6640625" style="385" customWidth="1"/>
    <col min="3844" max="3844" width="84.109375" style="385" customWidth="1"/>
    <col min="3845" max="3845" width="6.44140625" style="385" customWidth="1"/>
    <col min="3846" max="3847" width="11.88671875" style="385" customWidth="1"/>
    <col min="3848" max="3848" width="8.109375" style="385" customWidth="1"/>
    <col min="3849" max="3849" width="13.6640625" style="385" customWidth="1"/>
    <col min="3850" max="3850" width="11.6640625" style="385" customWidth="1"/>
    <col min="3851" max="3851" width="11" style="385" customWidth="1"/>
    <col min="3852" max="3852" width="14.88671875" style="385" bestFit="1" customWidth="1"/>
    <col min="3853" max="3853" width="15" style="385" bestFit="1" customWidth="1"/>
    <col min="3854" max="3854" width="12.33203125" style="385" bestFit="1" customWidth="1"/>
    <col min="3855" max="3855" width="12.5546875" style="385" bestFit="1" customWidth="1"/>
    <col min="3856" max="4096" width="8.88671875" style="385"/>
    <col min="4097" max="4097" width="15.5546875" style="385" customWidth="1"/>
    <col min="4098" max="4098" width="14" style="385" customWidth="1"/>
    <col min="4099" max="4099" width="16.6640625" style="385" customWidth="1"/>
    <col min="4100" max="4100" width="84.109375" style="385" customWidth="1"/>
    <col min="4101" max="4101" width="6.44140625" style="385" customWidth="1"/>
    <col min="4102" max="4103" width="11.88671875" style="385" customWidth="1"/>
    <col min="4104" max="4104" width="8.109375" style="385" customWidth="1"/>
    <col min="4105" max="4105" width="13.6640625" style="385" customWidth="1"/>
    <col min="4106" max="4106" width="11.6640625" style="385" customWidth="1"/>
    <col min="4107" max="4107" width="11" style="385" customWidth="1"/>
    <col min="4108" max="4108" width="14.88671875" style="385" bestFit="1" customWidth="1"/>
    <col min="4109" max="4109" width="15" style="385" bestFit="1" customWidth="1"/>
    <col min="4110" max="4110" width="12.33203125" style="385" bestFit="1" customWidth="1"/>
    <col min="4111" max="4111" width="12.5546875" style="385" bestFit="1" customWidth="1"/>
    <col min="4112" max="4352" width="8.88671875" style="385"/>
    <col min="4353" max="4353" width="15.5546875" style="385" customWidth="1"/>
    <col min="4354" max="4354" width="14" style="385" customWidth="1"/>
    <col min="4355" max="4355" width="16.6640625" style="385" customWidth="1"/>
    <col min="4356" max="4356" width="84.109375" style="385" customWidth="1"/>
    <col min="4357" max="4357" width="6.44140625" style="385" customWidth="1"/>
    <col min="4358" max="4359" width="11.88671875" style="385" customWidth="1"/>
    <col min="4360" max="4360" width="8.109375" style="385" customWidth="1"/>
    <col min="4361" max="4361" width="13.6640625" style="385" customWidth="1"/>
    <col min="4362" max="4362" width="11.6640625" style="385" customWidth="1"/>
    <col min="4363" max="4363" width="11" style="385" customWidth="1"/>
    <col min="4364" max="4364" width="14.88671875" style="385" bestFit="1" customWidth="1"/>
    <col min="4365" max="4365" width="15" style="385" bestFit="1" customWidth="1"/>
    <col min="4366" max="4366" width="12.33203125" style="385" bestFit="1" customWidth="1"/>
    <col min="4367" max="4367" width="12.5546875" style="385" bestFit="1" customWidth="1"/>
    <col min="4368" max="4608" width="8.88671875" style="385"/>
    <col min="4609" max="4609" width="15.5546875" style="385" customWidth="1"/>
    <col min="4610" max="4610" width="14" style="385" customWidth="1"/>
    <col min="4611" max="4611" width="16.6640625" style="385" customWidth="1"/>
    <col min="4612" max="4612" width="84.109375" style="385" customWidth="1"/>
    <col min="4613" max="4613" width="6.44140625" style="385" customWidth="1"/>
    <col min="4614" max="4615" width="11.88671875" style="385" customWidth="1"/>
    <col min="4616" max="4616" width="8.109375" style="385" customWidth="1"/>
    <col min="4617" max="4617" width="13.6640625" style="385" customWidth="1"/>
    <col min="4618" max="4618" width="11.6640625" style="385" customWidth="1"/>
    <col min="4619" max="4619" width="11" style="385" customWidth="1"/>
    <col min="4620" max="4620" width="14.88671875" style="385" bestFit="1" customWidth="1"/>
    <col min="4621" max="4621" width="15" style="385" bestFit="1" customWidth="1"/>
    <col min="4622" max="4622" width="12.33203125" style="385" bestFit="1" customWidth="1"/>
    <col min="4623" max="4623" width="12.5546875" style="385" bestFit="1" customWidth="1"/>
    <col min="4624" max="4864" width="8.88671875" style="385"/>
    <col min="4865" max="4865" width="15.5546875" style="385" customWidth="1"/>
    <col min="4866" max="4866" width="14" style="385" customWidth="1"/>
    <col min="4867" max="4867" width="16.6640625" style="385" customWidth="1"/>
    <col min="4868" max="4868" width="84.109375" style="385" customWidth="1"/>
    <col min="4869" max="4869" width="6.44140625" style="385" customWidth="1"/>
    <col min="4870" max="4871" width="11.88671875" style="385" customWidth="1"/>
    <col min="4872" max="4872" width="8.109375" style="385" customWidth="1"/>
    <col min="4873" max="4873" width="13.6640625" style="385" customWidth="1"/>
    <col min="4874" max="4874" width="11.6640625" style="385" customWidth="1"/>
    <col min="4875" max="4875" width="11" style="385" customWidth="1"/>
    <col min="4876" max="4876" width="14.88671875" style="385" bestFit="1" customWidth="1"/>
    <col min="4877" max="4877" width="15" style="385" bestFit="1" customWidth="1"/>
    <col min="4878" max="4878" width="12.33203125" style="385" bestFit="1" customWidth="1"/>
    <col min="4879" max="4879" width="12.5546875" style="385" bestFit="1" customWidth="1"/>
    <col min="4880" max="5120" width="8.88671875" style="385"/>
    <col min="5121" max="5121" width="15.5546875" style="385" customWidth="1"/>
    <col min="5122" max="5122" width="14" style="385" customWidth="1"/>
    <col min="5123" max="5123" width="16.6640625" style="385" customWidth="1"/>
    <col min="5124" max="5124" width="84.109375" style="385" customWidth="1"/>
    <col min="5125" max="5125" width="6.44140625" style="385" customWidth="1"/>
    <col min="5126" max="5127" width="11.88671875" style="385" customWidth="1"/>
    <col min="5128" max="5128" width="8.109375" style="385" customWidth="1"/>
    <col min="5129" max="5129" width="13.6640625" style="385" customWidth="1"/>
    <col min="5130" max="5130" width="11.6640625" style="385" customWidth="1"/>
    <col min="5131" max="5131" width="11" style="385" customWidth="1"/>
    <col min="5132" max="5132" width="14.88671875" style="385" bestFit="1" customWidth="1"/>
    <col min="5133" max="5133" width="15" style="385" bestFit="1" customWidth="1"/>
    <col min="5134" max="5134" width="12.33203125" style="385" bestFit="1" customWidth="1"/>
    <col min="5135" max="5135" width="12.5546875" style="385" bestFit="1" customWidth="1"/>
    <col min="5136" max="5376" width="8.88671875" style="385"/>
    <col min="5377" max="5377" width="15.5546875" style="385" customWidth="1"/>
    <col min="5378" max="5378" width="14" style="385" customWidth="1"/>
    <col min="5379" max="5379" width="16.6640625" style="385" customWidth="1"/>
    <col min="5380" max="5380" width="84.109375" style="385" customWidth="1"/>
    <col min="5381" max="5381" width="6.44140625" style="385" customWidth="1"/>
    <col min="5382" max="5383" width="11.88671875" style="385" customWidth="1"/>
    <col min="5384" max="5384" width="8.109375" style="385" customWidth="1"/>
    <col min="5385" max="5385" width="13.6640625" style="385" customWidth="1"/>
    <col min="5386" max="5386" width="11.6640625" style="385" customWidth="1"/>
    <col min="5387" max="5387" width="11" style="385" customWidth="1"/>
    <col min="5388" max="5388" width="14.88671875" style="385" bestFit="1" customWidth="1"/>
    <col min="5389" max="5389" width="15" style="385" bestFit="1" customWidth="1"/>
    <col min="5390" max="5390" width="12.33203125" style="385" bestFit="1" customWidth="1"/>
    <col min="5391" max="5391" width="12.5546875" style="385" bestFit="1" customWidth="1"/>
    <col min="5392" max="5632" width="8.88671875" style="385"/>
    <col min="5633" max="5633" width="15.5546875" style="385" customWidth="1"/>
    <col min="5634" max="5634" width="14" style="385" customWidth="1"/>
    <col min="5635" max="5635" width="16.6640625" style="385" customWidth="1"/>
    <col min="5636" max="5636" width="84.109375" style="385" customWidth="1"/>
    <col min="5637" max="5637" width="6.44140625" style="385" customWidth="1"/>
    <col min="5638" max="5639" width="11.88671875" style="385" customWidth="1"/>
    <col min="5640" max="5640" width="8.109375" style="385" customWidth="1"/>
    <col min="5641" max="5641" width="13.6640625" style="385" customWidth="1"/>
    <col min="5642" max="5642" width="11.6640625" style="385" customWidth="1"/>
    <col min="5643" max="5643" width="11" style="385" customWidth="1"/>
    <col min="5644" max="5644" width="14.88671875" style="385" bestFit="1" customWidth="1"/>
    <col min="5645" max="5645" width="15" style="385" bestFit="1" customWidth="1"/>
    <col min="5646" max="5646" width="12.33203125" style="385" bestFit="1" customWidth="1"/>
    <col min="5647" max="5647" width="12.5546875" style="385" bestFit="1" customWidth="1"/>
    <col min="5648" max="5888" width="8.88671875" style="385"/>
    <col min="5889" max="5889" width="15.5546875" style="385" customWidth="1"/>
    <col min="5890" max="5890" width="14" style="385" customWidth="1"/>
    <col min="5891" max="5891" width="16.6640625" style="385" customWidth="1"/>
    <col min="5892" max="5892" width="84.109375" style="385" customWidth="1"/>
    <col min="5893" max="5893" width="6.44140625" style="385" customWidth="1"/>
    <col min="5894" max="5895" width="11.88671875" style="385" customWidth="1"/>
    <col min="5896" max="5896" width="8.109375" style="385" customWidth="1"/>
    <col min="5897" max="5897" width="13.6640625" style="385" customWidth="1"/>
    <col min="5898" max="5898" width="11.6640625" style="385" customWidth="1"/>
    <col min="5899" max="5899" width="11" style="385" customWidth="1"/>
    <col min="5900" max="5900" width="14.88671875" style="385" bestFit="1" customWidth="1"/>
    <col min="5901" max="5901" width="15" style="385" bestFit="1" customWidth="1"/>
    <col min="5902" max="5902" width="12.33203125" style="385" bestFit="1" customWidth="1"/>
    <col min="5903" max="5903" width="12.5546875" style="385" bestFit="1" customWidth="1"/>
    <col min="5904" max="6144" width="8.88671875" style="385"/>
    <col min="6145" max="6145" width="15.5546875" style="385" customWidth="1"/>
    <col min="6146" max="6146" width="14" style="385" customWidth="1"/>
    <col min="6147" max="6147" width="16.6640625" style="385" customWidth="1"/>
    <col min="6148" max="6148" width="84.109375" style="385" customWidth="1"/>
    <col min="6149" max="6149" width="6.44140625" style="385" customWidth="1"/>
    <col min="6150" max="6151" width="11.88671875" style="385" customWidth="1"/>
    <col min="6152" max="6152" width="8.109375" style="385" customWidth="1"/>
    <col min="6153" max="6153" width="13.6640625" style="385" customWidth="1"/>
    <col min="6154" max="6154" width="11.6640625" style="385" customWidth="1"/>
    <col min="6155" max="6155" width="11" style="385" customWidth="1"/>
    <col min="6156" max="6156" width="14.88671875" style="385" bestFit="1" customWidth="1"/>
    <col min="6157" max="6157" width="15" style="385" bestFit="1" customWidth="1"/>
    <col min="6158" max="6158" width="12.33203125" style="385" bestFit="1" customWidth="1"/>
    <col min="6159" max="6159" width="12.5546875" style="385" bestFit="1" customWidth="1"/>
    <col min="6160" max="6400" width="8.88671875" style="385"/>
    <col min="6401" max="6401" width="15.5546875" style="385" customWidth="1"/>
    <col min="6402" max="6402" width="14" style="385" customWidth="1"/>
    <col min="6403" max="6403" width="16.6640625" style="385" customWidth="1"/>
    <col min="6404" max="6404" width="84.109375" style="385" customWidth="1"/>
    <col min="6405" max="6405" width="6.44140625" style="385" customWidth="1"/>
    <col min="6406" max="6407" width="11.88671875" style="385" customWidth="1"/>
    <col min="6408" max="6408" width="8.109375" style="385" customWidth="1"/>
    <col min="6409" max="6409" width="13.6640625" style="385" customWidth="1"/>
    <col min="6410" max="6410" width="11.6640625" style="385" customWidth="1"/>
    <col min="6411" max="6411" width="11" style="385" customWidth="1"/>
    <col min="6412" max="6412" width="14.88671875" style="385" bestFit="1" customWidth="1"/>
    <col min="6413" max="6413" width="15" style="385" bestFit="1" customWidth="1"/>
    <col min="6414" max="6414" width="12.33203125" style="385" bestFit="1" customWidth="1"/>
    <col min="6415" max="6415" width="12.5546875" style="385" bestFit="1" customWidth="1"/>
    <col min="6416" max="6656" width="8.88671875" style="385"/>
    <col min="6657" max="6657" width="15.5546875" style="385" customWidth="1"/>
    <col min="6658" max="6658" width="14" style="385" customWidth="1"/>
    <col min="6659" max="6659" width="16.6640625" style="385" customWidth="1"/>
    <col min="6660" max="6660" width="84.109375" style="385" customWidth="1"/>
    <col min="6661" max="6661" width="6.44140625" style="385" customWidth="1"/>
    <col min="6662" max="6663" width="11.88671875" style="385" customWidth="1"/>
    <col min="6664" max="6664" width="8.109375" style="385" customWidth="1"/>
    <col min="6665" max="6665" width="13.6640625" style="385" customWidth="1"/>
    <col min="6666" max="6666" width="11.6640625" style="385" customWidth="1"/>
    <col min="6667" max="6667" width="11" style="385" customWidth="1"/>
    <col min="6668" max="6668" width="14.88671875" style="385" bestFit="1" customWidth="1"/>
    <col min="6669" max="6669" width="15" style="385" bestFit="1" customWidth="1"/>
    <col min="6670" max="6670" width="12.33203125" style="385" bestFit="1" customWidth="1"/>
    <col min="6671" max="6671" width="12.5546875" style="385" bestFit="1" customWidth="1"/>
    <col min="6672" max="6912" width="8.88671875" style="385"/>
    <col min="6913" max="6913" width="15.5546875" style="385" customWidth="1"/>
    <col min="6914" max="6914" width="14" style="385" customWidth="1"/>
    <col min="6915" max="6915" width="16.6640625" style="385" customWidth="1"/>
    <col min="6916" max="6916" width="84.109375" style="385" customWidth="1"/>
    <col min="6917" max="6917" width="6.44140625" style="385" customWidth="1"/>
    <col min="6918" max="6919" width="11.88671875" style="385" customWidth="1"/>
    <col min="6920" max="6920" width="8.109375" style="385" customWidth="1"/>
    <col min="6921" max="6921" width="13.6640625" style="385" customWidth="1"/>
    <col min="6922" max="6922" width="11.6640625" style="385" customWidth="1"/>
    <col min="6923" max="6923" width="11" style="385" customWidth="1"/>
    <col min="6924" max="6924" width="14.88671875" style="385" bestFit="1" customWidth="1"/>
    <col min="6925" max="6925" width="15" style="385" bestFit="1" customWidth="1"/>
    <col min="6926" max="6926" width="12.33203125" style="385" bestFit="1" customWidth="1"/>
    <col min="6927" max="6927" width="12.5546875" style="385" bestFit="1" customWidth="1"/>
    <col min="6928" max="7168" width="8.88671875" style="385"/>
    <col min="7169" max="7169" width="15.5546875" style="385" customWidth="1"/>
    <col min="7170" max="7170" width="14" style="385" customWidth="1"/>
    <col min="7171" max="7171" width="16.6640625" style="385" customWidth="1"/>
    <col min="7172" max="7172" width="84.109375" style="385" customWidth="1"/>
    <col min="7173" max="7173" width="6.44140625" style="385" customWidth="1"/>
    <col min="7174" max="7175" width="11.88671875" style="385" customWidth="1"/>
    <col min="7176" max="7176" width="8.109375" style="385" customWidth="1"/>
    <col min="7177" max="7177" width="13.6640625" style="385" customWidth="1"/>
    <col min="7178" max="7178" width="11.6640625" style="385" customWidth="1"/>
    <col min="7179" max="7179" width="11" style="385" customWidth="1"/>
    <col min="7180" max="7180" width="14.88671875" style="385" bestFit="1" customWidth="1"/>
    <col min="7181" max="7181" width="15" style="385" bestFit="1" customWidth="1"/>
    <col min="7182" max="7182" width="12.33203125" style="385" bestFit="1" customWidth="1"/>
    <col min="7183" max="7183" width="12.5546875" style="385" bestFit="1" customWidth="1"/>
    <col min="7184" max="7424" width="8.88671875" style="385"/>
    <col min="7425" max="7425" width="15.5546875" style="385" customWidth="1"/>
    <col min="7426" max="7426" width="14" style="385" customWidth="1"/>
    <col min="7427" max="7427" width="16.6640625" style="385" customWidth="1"/>
    <col min="7428" max="7428" width="84.109375" style="385" customWidth="1"/>
    <col min="7429" max="7429" width="6.44140625" style="385" customWidth="1"/>
    <col min="7430" max="7431" width="11.88671875" style="385" customWidth="1"/>
    <col min="7432" max="7432" width="8.109375" style="385" customWidth="1"/>
    <col min="7433" max="7433" width="13.6640625" style="385" customWidth="1"/>
    <col min="7434" max="7434" width="11.6640625" style="385" customWidth="1"/>
    <col min="7435" max="7435" width="11" style="385" customWidth="1"/>
    <col min="7436" max="7436" width="14.88671875" style="385" bestFit="1" customWidth="1"/>
    <col min="7437" max="7437" width="15" style="385" bestFit="1" customWidth="1"/>
    <col min="7438" max="7438" width="12.33203125" style="385" bestFit="1" customWidth="1"/>
    <col min="7439" max="7439" width="12.5546875" style="385" bestFit="1" customWidth="1"/>
    <col min="7440" max="7680" width="8.88671875" style="385"/>
    <col min="7681" max="7681" width="15.5546875" style="385" customWidth="1"/>
    <col min="7682" max="7682" width="14" style="385" customWidth="1"/>
    <col min="7683" max="7683" width="16.6640625" style="385" customWidth="1"/>
    <col min="7684" max="7684" width="84.109375" style="385" customWidth="1"/>
    <col min="7685" max="7685" width="6.44140625" style="385" customWidth="1"/>
    <col min="7686" max="7687" width="11.88671875" style="385" customWidth="1"/>
    <col min="7688" max="7688" width="8.109375" style="385" customWidth="1"/>
    <col min="7689" max="7689" width="13.6640625" style="385" customWidth="1"/>
    <col min="7690" max="7690" width="11.6640625" style="385" customWidth="1"/>
    <col min="7691" max="7691" width="11" style="385" customWidth="1"/>
    <col min="7692" max="7692" width="14.88671875" style="385" bestFit="1" customWidth="1"/>
    <col min="7693" max="7693" width="15" style="385" bestFit="1" customWidth="1"/>
    <col min="7694" max="7694" width="12.33203125" style="385" bestFit="1" customWidth="1"/>
    <col min="7695" max="7695" width="12.5546875" style="385" bestFit="1" customWidth="1"/>
    <col min="7696" max="7936" width="8.88671875" style="385"/>
    <col min="7937" max="7937" width="15.5546875" style="385" customWidth="1"/>
    <col min="7938" max="7938" width="14" style="385" customWidth="1"/>
    <col min="7939" max="7939" width="16.6640625" style="385" customWidth="1"/>
    <col min="7940" max="7940" width="84.109375" style="385" customWidth="1"/>
    <col min="7941" max="7941" width="6.44140625" style="385" customWidth="1"/>
    <col min="7942" max="7943" width="11.88671875" style="385" customWidth="1"/>
    <col min="7944" max="7944" width="8.109375" style="385" customWidth="1"/>
    <col min="7945" max="7945" width="13.6640625" style="385" customWidth="1"/>
    <col min="7946" max="7946" width="11.6640625" style="385" customWidth="1"/>
    <col min="7947" max="7947" width="11" style="385" customWidth="1"/>
    <col min="7948" max="7948" width="14.88671875" style="385" bestFit="1" customWidth="1"/>
    <col min="7949" max="7949" width="15" style="385" bestFit="1" customWidth="1"/>
    <col min="7950" max="7950" width="12.33203125" style="385" bestFit="1" customWidth="1"/>
    <col min="7951" max="7951" width="12.5546875" style="385" bestFit="1" customWidth="1"/>
    <col min="7952" max="8192" width="8.88671875" style="385"/>
    <col min="8193" max="8193" width="15.5546875" style="385" customWidth="1"/>
    <col min="8194" max="8194" width="14" style="385" customWidth="1"/>
    <col min="8195" max="8195" width="16.6640625" style="385" customWidth="1"/>
    <col min="8196" max="8196" width="84.109375" style="385" customWidth="1"/>
    <col min="8197" max="8197" width="6.44140625" style="385" customWidth="1"/>
    <col min="8198" max="8199" width="11.88671875" style="385" customWidth="1"/>
    <col min="8200" max="8200" width="8.109375" style="385" customWidth="1"/>
    <col min="8201" max="8201" width="13.6640625" style="385" customWidth="1"/>
    <col min="8202" max="8202" width="11.6640625" style="385" customWidth="1"/>
    <col min="8203" max="8203" width="11" style="385" customWidth="1"/>
    <col min="8204" max="8204" width="14.88671875" style="385" bestFit="1" customWidth="1"/>
    <col min="8205" max="8205" width="15" style="385" bestFit="1" customWidth="1"/>
    <col min="8206" max="8206" width="12.33203125" style="385" bestFit="1" customWidth="1"/>
    <col min="8207" max="8207" width="12.5546875" style="385" bestFit="1" customWidth="1"/>
    <col min="8208" max="8448" width="8.88671875" style="385"/>
    <col min="8449" max="8449" width="15.5546875" style="385" customWidth="1"/>
    <col min="8450" max="8450" width="14" style="385" customWidth="1"/>
    <col min="8451" max="8451" width="16.6640625" style="385" customWidth="1"/>
    <col min="8452" max="8452" width="84.109375" style="385" customWidth="1"/>
    <col min="8453" max="8453" width="6.44140625" style="385" customWidth="1"/>
    <col min="8454" max="8455" width="11.88671875" style="385" customWidth="1"/>
    <col min="8456" max="8456" width="8.109375" style="385" customWidth="1"/>
    <col min="8457" max="8457" width="13.6640625" style="385" customWidth="1"/>
    <col min="8458" max="8458" width="11.6640625" style="385" customWidth="1"/>
    <col min="8459" max="8459" width="11" style="385" customWidth="1"/>
    <col min="8460" max="8460" width="14.88671875" style="385" bestFit="1" customWidth="1"/>
    <col min="8461" max="8461" width="15" style="385" bestFit="1" customWidth="1"/>
    <col min="8462" max="8462" width="12.33203125" style="385" bestFit="1" customWidth="1"/>
    <col min="8463" max="8463" width="12.5546875" style="385" bestFit="1" customWidth="1"/>
    <col min="8464" max="8704" width="8.88671875" style="385"/>
    <col min="8705" max="8705" width="15.5546875" style="385" customWidth="1"/>
    <col min="8706" max="8706" width="14" style="385" customWidth="1"/>
    <col min="8707" max="8707" width="16.6640625" style="385" customWidth="1"/>
    <col min="8708" max="8708" width="84.109375" style="385" customWidth="1"/>
    <col min="8709" max="8709" width="6.44140625" style="385" customWidth="1"/>
    <col min="8710" max="8711" width="11.88671875" style="385" customWidth="1"/>
    <col min="8712" max="8712" width="8.109375" style="385" customWidth="1"/>
    <col min="8713" max="8713" width="13.6640625" style="385" customWidth="1"/>
    <col min="8714" max="8714" width="11.6640625" style="385" customWidth="1"/>
    <col min="8715" max="8715" width="11" style="385" customWidth="1"/>
    <col min="8716" max="8716" width="14.88671875" style="385" bestFit="1" customWidth="1"/>
    <col min="8717" max="8717" width="15" style="385" bestFit="1" customWidth="1"/>
    <col min="8718" max="8718" width="12.33203125" style="385" bestFit="1" customWidth="1"/>
    <col min="8719" max="8719" width="12.5546875" style="385" bestFit="1" customWidth="1"/>
    <col min="8720" max="8960" width="8.88671875" style="385"/>
    <col min="8961" max="8961" width="15.5546875" style="385" customWidth="1"/>
    <col min="8962" max="8962" width="14" style="385" customWidth="1"/>
    <col min="8963" max="8963" width="16.6640625" style="385" customWidth="1"/>
    <col min="8964" max="8964" width="84.109375" style="385" customWidth="1"/>
    <col min="8965" max="8965" width="6.44140625" style="385" customWidth="1"/>
    <col min="8966" max="8967" width="11.88671875" style="385" customWidth="1"/>
    <col min="8968" max="8968" width="8.109375" style="385" customWidth="1"/>
    <col min="8969" max="8969" width="13.6640625" style="385" customWidth="1"/>
    <col min="8970" max="8970" width="11.6640625" style="385" customWidth="1"/>
    <col min="8971" max="8971" width="11" style="385" customWidth="1"/>
    <col min="8972" max="8972" width="14.88671875" style="385" bestFit="1" customWidth="1"/>
    <col min="8973" max="8973" width="15" style="385" bestFit="1" customWidth="1"/>
    <col min="8974" max="8974" width="12.33203125" style="385" bestFit="1" customWidth="1"/>
    <col min="8975" max="8975" width="12.5546875" style="385" bestFit="1" customWidth="1"/>
    <col min="8976" max="9216" width="8.88671875" style="385"/>
    <col min="9217" max="9217" width="15.5546875" style="385" customWidth="1"/>
    <col min="9218" max="9218" width="14" style="385" customWidth="1"/>
    <col min="9219" max="9219" width="16.6640625" style="385" customWidth="1"/>
    <col min="9220" max="9220" width="84.109375" style="385" customWidth="1"/>
    <col min="9221" max="9221" width="6.44140625" style="385" customWidth="1"/>
    <col min="9222" max="9223" width="11.88671875" style="385" customWidth="1"/>
    <col min="9224" max="9224" width="8.109375" style="385" customWidth="1"/>
    <col min="9225" max="9225" width="13.6640625" style="385" customWidth="1"/>
    <col min="9226" max="9226" width="11.6640625" style="385" customWidth="1"/>
    <col min="9227" max="9227" width="11" style="385" customWidth="1"/>
    <col min="9228" max="9228" width="14.88671875" style="385" bestFit="1" customWidth="1"/>
    <col min="9229" max="9229" width="15" style="385" bestFit="1" customWidth="1"/>
    <col min="9230" max="9230" width="12.33203125" style="385" bestFit="1" customWidth="1"/>
    <col min="9231" max="9231" width="12.5546875" style="385" bestFit="1" customWidth="1"/>
    <col min="9232" max="9472" width="8.88671875" style="385"/>
    <col min="9473" max="9473" width="15.5546875" style="385" customWidth="1"/>
    <col min="9474" max="9474" width="14" style="385" customWidth="1"/>
    <col min="9475" max="9475" width="16.6640625" style="385" customWidth="1"/>
    <col min="9476" max="9476" width="84.109375" style="385" customWidth="1"/>
    <col min="9477" max="9477" width="6.44140625" style="385" customWidth="1"/>
    <col min="9478" max="9479" width="11.88671875" style="385" customWidth="1"/>
    <col min="9480" max="9480" width="8.109375" style="385" customWidth="1"/>
    <col min="9481" max="9481" width="13.6640625" style="385" customWidth="1"/>
    <col min="9482" max="9482" width="11.6640625" style="385" customWidth="1"/>
    <col min="9483" max="9483" width="11" style="385" customWidth="1"/>
    <col min="9484" max="9484" width="14.88671875" style="385" bestFit="1" customWidth="1"/>
    <col min="9485" max="9485" width="15" style="385" bestFit="1" customWidth="1"/>
    <col min="9486" max="9486" width="12.33203125" style="385" bestFit="1" customWidth="1"/>
    <col min="9487" max="9487" width="12.5546875" style="385" bestFit="1" customWidth="1"/>
    <col min="9488" max="9728" width="8.88671875" style="385"/>
    <col min="9729" max="9729" width="15.5546875" style="385" customWidth="1"/>
    <col min="9730" max="9730" width="14" style="385" customWidth="1"/>
    <col min="9731" max="9731" width="16.6640625" style="385" customWidth="1"/>
    <col min="9732" max="9732" width="84.109375" style="385" customWidth="1"/>
    <col min="9733" max="9733" width="6.44140625" style="385" customWidth="1"/>
    <col min="9734" max="9735" width="11.88671875" style="385" customWidth="1"/>
    <col min="9736" max="9736" width="8.109375" style="385" customWidth="1"/>
    <col min="9737" max="9737" width="13.6640625" style="385" customWidth="1"/>
    <col min="9738" max="9738" width="11.6640625" style="385" customWidth="1"/>
    <col min="9739" max="9739" width="11" style="385" customWidth="1"/>
    <col min="9740" max="9740" width="14.88671875" style="385" bestFit="1" customWidth="1"/>
    <col min="9741" max="9741" width="15" style="385" bestFit="1" customWidth="1"/>
    <col min="9742" max="9742" width="12.33203125" style="385" bestFit="1" customWidth="1"/>
    <col min="9743" max="9743" width="12.5546875" style="385" bestFit="1" customWidth="1"/>
    <col min="9744" max="9984" width="8.88671875" style="385"/>
    <col min="9985" max="9985" width="15.5546875" style="385" customWidth="1"/>
    <col min="9986" max="9986" width="14" style="385" customWidth="1"/>
    <col min="9987" max="9987" width="16.6640625" style="385" customWidth="1"/>
    <col min="9988" max="9988" width="84.109375" style="385" customWidth="1"/>
    <col min="9989" max="9989" width="6.44140625" style="385" customWidth="1"/>
    <col min="9990" max="9991" width="11.88671875" style="385" customWidth="1"/>
    <col min="9992" max="9992" width="8.109375" style="385" customWidth="1"/>
    <col min="9993" max="9993" width="13.6640625" style="385" customWidth="1"/>
    <col min="9994" max="9994" width="11.6640625" style="385" customWidth="1"/>
    <col min="9995" max="9995" width="11" style="385" customWidth="1"/>
    <col min="9996" max="9996" width="14.88671875" style="385" bestFit="1" customWidth="1"/>
    <col min="9997" max="9997" width="15" style="385" bestFit="1" customWidth="1"/>
    <col min="9998" max="9998" width="12.33203125" style="385" bestFit="1" customWidth="1"/>
    <col min="9999" max="9999" width="12.5546875" style="385" bestFit="1" customWidth="1"/>
    <col min="10000" max="10240" width="8.88671875" style="385"/>
    <col min="10241" max="10241" width="15.5546875" style="385" customWidth="1"/>
    <col min="10242" max="10242" width="14" style="385" customWidth="1"/>
    <col min="10243" max="10243" width="16.6640625" style="385" customWidth="1"/>
    <col min="10244" max="10244" width="84.109375" style="385" customWidth="1"/>
    <col min="10245" max="10245" width="6.44140625" style="385" customWidth="1"/>
    <col min="10246" max="10247" width="11.88671875" style="385" customWidth="1"/>
    <col min="10248" max="10248" width="8.109375" style="385" customWidth="1"/>
    <col min="10249" max="10249" width="13.6640625" style="385" customWidth="1"/>
    <col min="10250" max="10250" width="11.6640625" style="385" customWidth="1"/>
    <col min="10251" max="10251" width="11" style="385" customWidth="1"/>
    <col min="10252" max="10252" width="14.88671875" style="385" bestFit="1" customWidth="1"/>
    <col min="10253" max="10253" width="15" style="385" bestFit="1" customWidth="1"/>
    <col min="10254" max="10254" width="12.33203125" style="385" bestFit="1" customWidth="1"/>
    <col min="10255" max="10255" width="12.5546875" style="385" bestFit="1" customWidth="1"/>
    <col min="10256" max="10496" width="8.88671875" style="385"/>
    <col min="10497" max="10497" width="15.5546875" style="385" customWidth="1"/>
    <col min="10498" max="10498" width="14" style="385" customWidth="1"/>
    <col min="10499" max="10499" width="16.6640625" style="385" customWidth="1"/>
    <col min="10500" max="10500" width="84.109375" style="385" customWidth="1"/>
    <col min="10501" max="10501" width="6.44140625" style="385" customWidth="1"/>
    <col min="10502" max="10503" width="11.88671875" style="385" customWidth="1"/>
    <col min="10504" max="10504" width="8.109375" style="385" customWidth="1"/>
    <col min="10505" max="10505" width="13.6640625" style="385" customWidth="1"/>
    <col min="10506" max="10506" width="11.6640625" style="385" customWidth="1"/>
    <col min="10507" max="10507" width="11" style="385" customWidth="1"/>
    <col min="10508" max="10508" width="14.88671875" style="385" bestFit="1" customWidth="1"/>
    <col min="10509" max="10509" width="15" style="385" bestFit="1" customWidth="1"/>
    <col min="10510" max="10510" width="12.33203125" style="385" bestFit="1" customWidth="1"/>
    <col min="10511" max="10511" width="12.5546875" style="385" bestFit="1" customWidth="1"/>
    <col min="10512" max="10752" width="8.88671875" style="385"/>
    <col min="10753" max="10753" width="15.5546875" style="385" customWidth="1"/>
    <col min="10754" max="10754" width="14" style="385" customWidth="1"/>
    <col min="10755" max="10755" width="16.6640625" style="385" customWidth="1"/>
    <col min="10756" max="10756" width="84.109375" style="385" customWidth="1"/>
    <col min="10757" max="10757" width="6.44140625" style="385" customWidth="1"/>
    <col min="10758" max="10759" width="11.88671875" style="385" customWidth="1"/>
    <col min="10760" max="10760" width="8.109375" style="385" customWidth="1"/>
    <col min="10761" max="10761" width="13.6640625" style="385" customWidth="1"/>
    <col min="10762" max="10762" width="11.6640625" style="385" customWidth="1"/>
    <col min="10763" max="10763" width="11" style="385" customWidth="1"/>
    <col min="10764" max="10764" width="14.88671875" style="385" bestFit="1" customWidth="1"/>
    <col min="10765" max="10765" width="15" style="385" bestFit="1" customWidth="1"/>
    <col min="10766" max="10766" width="12.33203125" style="385" bestFit="1" customWidth="1"/>
    <col min="10767" max="10767" width="12.5546875" style="385" bestFit="1" customWidth="1"/>
    <col min="10768" max="11008" width="8.88671875" style="385"/>
    <col min="11009" max="11009" width="15.5546875" style="385" customWidth="1"/>
    <col min="11010" max="11010" width="14" style="385" customWidth="1"/>
    <col min="11011" max="11011" width="16.6640625" style="385" customWidth="1"/>
    <col min="11012" max="11012" width="84.109375" style="385" customWidth="1"/>
    <col min="11013" max="11013" width="6.44140625" style="385" customWidth="1"/>
    <col min="11014" max="11015" width="11.88671875" style="385" customWidth="1"/>
    <col min="11016" max="11016" width="8.109375" style="385" customWidth="1"/>
    <col min="11017" max="11017" width="13.6640625" style="385" customWidth="1"/>
    <col min="11018" max="11018" width="11.6640625" style="385" customWidth="1"/>
    <col min="11019" max="11019" width="11" style="385" customWidth="1"/>
    <col min="11020" max="11020" width="14.88671875" style="385" bestFit="1" customWidth="1"/>
    <col min="11021" max="11021" width="15" style="385" bestFit="1" customWidth="1"/>
    <col min="11022" max="11022" width="12.33203125" style="385" bestFit="1" customWidth="1"/>
    <col min="11023" max="11023" width="12.5546875" style="385" bestFit="1" customWidth="1"/>
    <col min="11024" max="11264" width="8.88671875" style="385"/>
    <col min="11265" max="11265" width="15.5546875" style="385" customWidth="1"/>
    <col min="11266" max="11266" width="14" style="385" customWidth="1"/>
    <col min="11267" max="11267" width="16.6640625" style="385" customWidth="1"/>
    <col min="11268" max="11268" width="84.109375" style="385" customWidth="1"/>
    <col min="11269" max="11269" width="6.44140625" style="385" customWidth="1"/>
    <col min="11270" max="11271" width="11.88671875" style="385" customWidth="1"/>
    <col min="11272" max="11272" width="8.109375" style="385" customWidth="1"/>
    <col min="11273" max="11273" width="13.6640625" style="385" customWidth="1"/>
    <col min="11274" max="11274" width="11.6640625" style="385" customWidth="1"/>
    <col min="11275" max="11275" width="11" style="385" customWidth="1"/>
    <col min="11276" max="11276" width="14.88671875" style="385" bestFit="1" customWidth="1"/>
    <col min="11277" max="11277" width="15" style="385" bestFit="1" customWidth="1"/>
    <col min="11278" max="11278" width="12.33203125" style="385" bestFit="1" customWidth="1"/>
    <col min="11279" max="11279" width="12.5546875" style="385" bestFit="1" customWidth="1"/>
    <col min="11280" max="11520" width="8.88671875" style="385"/>
    <col min="11521" max="11521" width="15.5546875" style="385" customWidth="1"/>
    <col min="11522" max="11522" width="14" style="385" customWidth="1"/>
    <col min="11523" max="11523" width="16.6640625" style="385" customWidth="1"/>
    <col min="11524" max="11524" width="84.109375" style="385" customWidth="1"/>
    <col min="11525" max="11525" width="6.44140625" style="385" customWidth="1"/>
    <col min="11526" max="11527" width="11.88671875" style="385" customWidth="1"/>
    <col min="11528" max="11528" width="8.109375" style="385" customWidth="1"/>
    <col min="11529" max="11529" width="13.6640625" style="385" customWidth="1"/>
    <col min="11530" max="11530" width="11.6640625" style="385" customWidth="1"/>
    <col min="11531" max="11531" width="11" style="385" customWidth="1"/>
    <col min="11532" max="11532" width="14.88671875" style="385" bestFit="1" customWidth="1"/>
    <col min="11533" max="11533" width="15" style="385" bestFit="1" customWidth="1"/>
    <col min="11534" max="11534" width="12.33203125" style="385" bestFit="1" customWidth="1"/>
    <col min="11535" max="11535" width="12.5546875" style="385" bestFit="1" customWidth="1"/>
    <col min="11536" max="11776" width="8.88671875" style="385"/>
    <col min="11777" max="11777" width="15.5546875" style="385" customWidth="1"/>
    <col min="11778" max="11778" width="14" style="385" customWidth="1"/>
    <col min="11779" max="11779" width="16.6640625" style="385" customWidth="1"/>
    <col min="11780" max="11780" width="84.109375" style="385" customWidth="1"/>
    <col min="11781" max="11781" width="6.44140625" style="385" customWidth="1"/>
    <col min="11782" max="11783" width="11.88671875" style="385" customWidth="1"/>
    <col min="11784" max="11784" width="8.109375" style="385" customWidth="1"/>
    <col min="11785" max="11785" width="13.6640625" style="385" customWidth="1"/>
    <col min="11786" max="11786" width="11.6640625" style="385" customWidth="1"/>
    <col min="11787" max="11787" width="11" style="385" customWidth="1"/>
    <col min="11788" max="11788" width="14.88671875" style="385" bestFit="1" customWidth="1"/>
    <col min="11789" max="11789" width="15" style="385" bestFit="1" customWidth="1"/>
    <col min="11790" max="11790" width="12.33203125" style="385" bestFit="1" customWidth="1"/>
    <col min="11791" max="11791" width="12.5546875" style="385" bestFit="1" customWidth="1"/>
    <col min="11792" max="12032" width="8.88671875" style="385"/>
    <col min="12033" max="12033" width="15.5546875" style="385" customWidth="1"/>
    <col min="12034" max="12034" width="14" style="385" customWidth="1"/>
    <col min="12035" max="12035" width="16.6640625" style="385" customWidth="1"/>
    <col min="12036" max="12036" width="84.109375" style="385" customWidth="1"/>
    <col min="12037" max="12037" width="6.44140625" style="385" customWidth="1"/>
    <col min="12038" max="12039" width="11.88671875" style="385" customWidth="1"/>
    <col min="12040" max="12040" width="8.109375" style="385" customWidth="1"/>
    <col min="12041" max="12041" width="13.6640625" style="385" customWidth="1"/>
    <col min="12042" max="12042" width="11.6640625" style="385" customWidth="1"/>
    <col min="12043" max="12043" width="11" style="385" customWidth="1"/>
    <col min="12044" max="12044" width="14.88671875" style="385" bestFit="1" customWidth="1"/>
    <col min="12045" max="12045" width="15" style="385" bestFit="1" customWidth="1"/>
    <col min="12046" max="12046" width="12.33203125" style="385" bestFit="1" customWidth="1"/>
    <col min="12047" max="12047" width="12.5546875" style="385" bestFit="1" customWidth="1"/>
    <col min="12048" max="12288" width="8.88671875" style="385"/>
    <col min="12289" max="12289" width="15.5546875" style="385" customWidth="1"/>
    <col min="12290" max="12290" width="14" style="385" customWidth="1"/>
    <col min="12291" max="12291" width="16.6640625" style="385" customWidth="1"/>
    <col min="12292" max="12292" width="84.109375" style="385" customWidth="1"/>
    <col min="12293" max="12293" width="6.44140625" style="385" customWidth="1"/>
    <col min="12294" max="12295" width="11.88671875" style="385" customWidth="1"/>
    <col min="12296" max="12296" width="8.109375" style="385" customWidth="1"/>
    <col min="12297" max="12297" width="13.6640625" style="385" customWidth="1"/>
    <col min="12298" max="12298" width="11.6640625" style="385" customWidth="1"/>
    <col min="12299" max="12299" width="11" style="385" customWidth="1"/>
    <col min="12300" max="12300" width="14.88671875" style="385" bestFit="1" customWidth="1"/>
    <col min="12301" max="12301" width="15" style="385" bestFit="1" customWidth="1"/>
    <col min="12302" max="12302" width="12.33203125" style="385" bestFit="1" customWidth="1"/>
    <col min="12303" max="12303" width="12.5546875" style="385" bestFit="1" customWidth="1"/>
    <col min="12304" max="12544" width="8.88671875" style="385"/>
    <col min="12545" max="12545" width="15.5546875" style="385" customWidth="1"/>
    <col min="12546" max="12546" width="14" style="385" customWidth="1"/>
    <col min="12547" max="12547" width="16.6640625" style="385" customWidth="1"/>
    <col min="12548" max="12548" width="84.109375" style="385" customWidth="1"/>
    <col min="12549" max="12549" width="6.44140625" style="385" customWidth="1"/>
    <col min="12550" max="12551" width="11.88671875" style="385" customWidth="1"/>
    <col min="12552" max="12552" width="8.109375" style="385" customWidth="1"/>
    <col min="12553" max="12553" width="13.6640625" style="385" customWidth="1"/>
    <col min="12554" max="12554" width="11.6640625" style="385" customWidth="1"/>
    <col min="12555" max="12555" width="11" style="385" customWidth="1"/>
    <col min="12556" max="12556" width="14.88671875" style="385" bestFit="1" customWidth="1"/>
    <col min="12557" max="12557" width="15" style="385" bestFit="1" customWidth="1"/>
    <col min="12558" max="12558" width="12.33203125" style="385" bestFit="1" customWidth="1"/>
    <col min="12559" max="12559" width="12.5546875" style="385" bestFit="1" customWidth="1"/>
    <col min="12560" max="12800" width="8.88671875" style="385"/>
    <col min="12801" max="12801" width="15.5546875" style="385" customWidth="1"/>
    <col min="12802" max="12802" width="14" style="385" customWidth="1"/>
    <col min="12803" max="12803" width="16.6640625" style="385" customWidth="1"/>
    <col min="12804" max="12804" width="84.109375" style="385" customWidth="1"/>
    <col min="12805" max="12805" width="6.44140625" style="385" customWidth="1"/>
    <col min="12806" max="12807" width="11.88671875" style="385" customWidth="1"/>
    <col min="12808" max="12808" width="8.109375" style="385" customWidth="1"/>
    <col min="12809" max="12809" width="13.6640625" style="385" customWidth="1"/>
    <col min="12810" max="12810" width="11.6640625" style="385" customWidth="1"/>
    <col min="12811" max="12811" width="11" style="385" customWidth="1"/>
    <col min="12812" max="12812" width="14.88671875" style="385" bestFit="1" customWidth="1"/>
    <col min="12813" max="12813" width="15" style="385" bestFit="1" customWidth="1"/>
    <col min="12814" max="12814" width="12.33203125" style="385" bestFit="1" customWidth="1"/>
    <col min="12815" max="12815" width="12.5546875" style="385" bestFit="1" customWidth="1"/>
    <col min="12816" max="13056" width="8.88671875" style="385"/>
    <col min="13057" max="13057" width="15.5546875" style="385" customWidth="1"/>
    <col min="13058" max="13058" width="14" style="385" customWidth="1"/>
    <col min="13059" max="13059" width="16.6640625" style="385" customWidth="1"/>
    <col min="13060" max="13060" width="84.109375" style="385" customWidth="1"/>
    <col min="13061" max="13061" width="6.44140625" style="385" customWidth="1"/>
    <col min="13062" max="13063" width="11.88671875" style="385" customWidth="1"/>
    <col min="13064" max="13064" width="8.109375" style="385" customWidth="1"/>
    <col min="13065" max="13065" width="13.6640625" style="385" customWidth="1"/>
    <col min="13066" max="13066" width="11.6640625" style="385" customWidth="1"/>
    <col min="13067" max="13067" width="11" style="385" customWidth="1"/>
    <col min="13068" max="13068" width="14.88671875" style="385" bestFit="1" customWidth="1"/>
    <col min="13069" max="13069" width="15" style="385" bestFit="1" customWidth="1"/>
    <col min="13070" max="13070" width="12.33203125" style="385" bestFit="1" customWidth="1"/>
    <col min="13071" max="13071" width="12.5546875" style="385" bestFit="1" customWidth="1"/>
    <col min="13072" max="13312" width="8.88671875" style="385"/>
    <col min="13313" max="13313" width="15.5546875" style="385" customWidth="1"/>
    <col min="13314" max="13314" width="14" style="385" customWidth="1"/>
    <col min="13315" max="13315" width="16.6640625" style="385" customWidth="1"/>
    <col min="13316" max="13316" width="84.109375" style="385" customWidth="1"/>
    <col min="13317" max="13317" width="6.44140625" style="385" customWidth="1"/>
    <col min="13318" max="13319" width="11.88671875" style="385" customWidth="1"/>
    <col min="13320" max="13320" width="8.109375" style="385" customWidth="1"/>
    <col min="13321" max="13321" width="13.6640625" style="385" customWidth="1"/>
    <col min="13322" max="13322" width="11.6640625" style="385" customWidth="1"/>
    <col min="13323" max="13323" width="11" style="385" customWidth="1"/>
    <col min="13324" max="13324" width="14.88671875" style="385" bestFit="1" customWidth="1"/>
    <col min="13325" max="13325" width="15" style="385" bestFit="1" customWidth="1"/>
    <col min="13326" max="13326" width="12.33203125" style="385" bestFit="1" customWidth="1"/>
    <col min="13327" max="13327" width="12.5546875" style="385" bestFit="1" customWidth="1"/>
    <col min="13328" max="13568" width="8.88671875" style="385"/>
    <col min="13569" max="13569" width="15.5546875" style="385" customWidth="1"/>
    <col min="13570" max="13570" width="14" style="385" customWidth="1"/>
    <col min="13571" max="13571" width="16.6640625" style="385" customWidth="1"/>
    <col min="13572" max="13572" width="84.109375" style="385" customWidth="1"/>
    <col min="13573" max="13573" width="6.44140625" style="385" customWidth="1"/>
    <col min="13574" max="13575" width="11.88671875" style="385" customWidth="1"/>
    <col min="13576" max="13576" width="8.109375" style="385" customWidth="1"/>
    <col min="13577" max="13577" width="13.6640625" style="385" customWidth="1"/>
    <col min="13578" max="13578" width="11.6640625" style="385" customWidth="1"/>
    <col min="13579" max="13579" width="11" style="385" customWidth="1"/>
    <col min="13580" max="13580" width="14.88671875" style="385" bestFit="1" customWidth="1"/>
    <col min="13581" max="13581" width="15" style="385" bestFit="1" customWidth="1"/>
    <col min="13582" max="13582" width="12.33203125" style="385" bestFit="1" customWidth="1"/>
    <col min="13583" max="13583" width="12.5546875" style="385" bestFit="1" customWidth="1"/>
    <col min="13584" max="13824" width="8.88671875" style="385"/>
    <col min="13825" max="13825" width="15.5546875" style="385" customWidth="1"/>
    <col min="13826" max="13826" width="14" style="385" customWidth="1"/>
    <col min="13827" max="13827" width="16.6640625" style="385" customWidth="1"/>
    <col min="13828" max="13828" width="84.109375" style="385" customWidth="1"/>
    <col min="13829" max="13829" width="6.44140625" style="385" customWidth="1"/>
    <col min="13830" max="13831" width="11.88671875" style="385" customWidth="1"/>
    <col min="13832" max="13832" width="8.109375" style="385" customWidth="1"/>
    <col min="13833" max="13833" width="13.6640625" style="385" customWidth="1"/>
    <col min="13834" max="13834" width="11.6640625" style="385" customWidth="1"/>
    <col min="13835" max="13835" width="11" style="385" customWidth="1"/>
    <col min="13836" max="13836" width="14.88671875" style="385" bestFit="1" customWidth="1"/>
    <col min="13837" max="13837" width="15" style="385" bestFit="1" customWidth="1"/>
    <col min="13838" max="13838" width="12.33203125" style="385" bestFit="1" customWidth="1"/>
    <col min="13839" max="13839" width="12.5546875" style="385" bestFit="1" customWidth="1"/>
    <col min="13840" max="14080" width="8.88671875" style="385"/>
    <col min="14081" max="14081" width="15.5546875" style="385" customWidth="1"/>
    <col min="14082" max="14082" width="14" style="385" customWidth="1"/>
    <col min="14083" max="14083" width="16.6640625" style="385" customWidth="1"/>
    <col min="14084" max="14084" width="84.109375" style="385" customWidth="1"/>
    <col min="14085" max="14085" width="6.44140625" style="385" customWidth="1"/>
    <col min="14086" max="14087" width="11.88671875" style="385" customWidth="1"/>
    <col min="14088" max="14088" width="8.109375" style="385" customWidth="1"/>
    <col min="14089" max="14089" width="13.6640625" style="385" customWidth="1"/>
    <col min="14090" max="14090" width="11.6640625" style="385" customWidth="1"/>
    <col min="14091" max="14091" width="11" style="385" customWidth="1"/>
    <col min="14092" max="14092" width="14.88671875" style="385" bestFit="1" customWidth="1"/>
    <col min="14093" max="14093" width="15" style="385" bestFit="1" customWidth="1"/>
    <col min="14094" max="14094" width="12.33203125" style="385" bestFit="1" customWidth="1"/>
    <col min="14095" max="14095" width="12.5546875" style="385" bestFit="1" customWidth="1"/>
    <col min="14096" max="14336" width="8.88671875" style="385"/>
    <col min="14337" max="14337" width="15.5546875" style="385" customWidth="1"/>
    <col min="14338" max="14338" width="14" style="385" customWidth="1"/>
    <col min="14339" max="14339" width="16.6640625" style="385" customWidth="1"/>
    <col min="14340" max="14340" width="84.109375" style="385" customWidth="1"/>
    <col min="14341" max="14341" width="6.44140625" style="385" customWidth="1"/>
    <col min="14342" max="14343" width="11.88671875" style="385" customWidth="1"/>
    <col min="14344" max="14344" width="8.109375" style="385" customWidth="1"/>
    <col min="14345" max="14345" width="13.6640625" style="385" customWidth="1"/>
    <col min="14346" max="14346" width="11.6640625" style="385" customWidth="1"/>
    <col min="14347" max="14347" width="11" style="385" customWidth="1"/>
    <col min="14348" max="14348" width="14.88671875" style="385" bestFit="1" customWidth="1"/>
    <col min="14349" max="14349" width="15" style="385" bestFit="1" customWidth="1"/>
    <col min="14350" max="14350" width="12.33203125" style="385" bestFit="1" customWidth="1"/>
    <col min="14351" max="14351" width="12.5546875" style="385" bestFit="1" customWidth="1"/>
    <col min="14352" max="14592" width="8.88671875" style="385"/>
    <col min="14593" max="14593" width="15.5546875" style="385" customWidth="1"/>
    <col min="14594" max="14594" width="14" style="385" customWidth="1"/>
    <col min="14595" max="14595" width="16.6640625" style="385" customWidth="1"/>
    <col min="14596" max="14596" width="84.109375" style="385" customWidth="1"/>
    <col min="14597" max="14597" width="6.44140625" style="385" customWidth="1"/>
    <col min="14598" max="14599" width="11.88671875" style="385" customWidth="1"/>
    <col min="14600" max="14600" width="8.109375" style="385" customWidth="1"/>
    <col min="14601" max="14601" width="13.6640625" style="385" customWidth="1"/>
    <col min="14602" max="14602" width="11.6640625" style="385" customWidth="1"/>
    <col min="14603" max="14603" width="11" style="385" customWidth="1"/>
    <col min="14604" max="14604" width="14.88671875" style="385" bestFit="1" customWidth="1"/>
    <col min="14605" max="14605" width="15" style="385" bestFit="1" customWidth="1"/>
    <col min="14606" max="14606" width="12.33203125" style="385" bestFit="1" customWidth="1"/>
    <col min="14607" max="14607" width="12.5546875" style="385" bestFit="1" customWidth="1"/>
    <col min="14608" max="14848" width="8.88671875" style="385"/>
    <col min="14849" max="14849" width="15.5546875" style="385" customWidth="1"/>
    <col min="14850" max="14850" width="14" style="385" customWidth="1"/>
    <col min="14851" max="14851" width="16.6640625" style="385" customWidth="1"/>
    <col min="14852" max="14852" width="84.109375" style="385" customWidth="1"/>
    <col min="14853" max="14853" width="6.44140625" style="385" customWidth="1"/>
    <col min="14854" max="14855" width="11.88671875" style="385" customWidth="1"/>
    <col min="14856" max="14856" width="8.109375" style="385" customWidth="1"/>
    <col min="14857" max="14857" width="13.6640625" style="385" customWidth="1"/>
    <col min="14858" max="14858" width="11.6640625" style="385" customWidth="1"/>
    <col min="14859" max="14859" width="11" style="385" customWidth="1"/>
    <col min="14860" max="14860" width="14.88671875" style="385" bestFit="1" customWidth="1"/>
    <col min="14861" max="14861" width="15" style="385" bestFit="1" customWidth="1"/>
    <col min="14862" max="14862" width="12.33203125" style="385" bestFit="1" customWidth="1"/>
    <col min="14863" max="14863" width="12.5546875" style="385" bestFit="1" customWidth="1"/>
    <col min="14864" max="15104" width="8.88671875" style="385"/>
    <col min="15105" max="15105" width="15.5546875" style="385" customWidth="1"/>
    <col min="15106" max="15106" width="14" style="385" customWidth="1"/>
    <col min="15107" max="15107" width="16.6640625" style="385" customWidth="1"/>
    <col min="15108" max="15108" width="84.109375" style="385" customWidth="1"/>
    <col min="15109" max="15109" width="6.44140625" style="385" customWidth="1"/>
    <col min="15110" max="15111" width="11.88671875" style="385" customWidth="1"/>
    <col min="15112" max="15112" width="8.109375" style="385" customWidth="1"/>
    <col min="15113" max="15113" width="13.6640625" style="385" customWidth="1"/>
    <col min="15114" max="15114" width="11.6640625" style="385" customWidth="1"/>
    <col min="15115" max="15115" width="11" style="385" customWidth="1"/>
    <col min="15116" max="15116" width="14.88671875" style="385" bestFit="1" customWidth="1"/>
    <col min="15117" max="15117" width="15" style="385" bestFit="1" customWidth="1"/>
    <col min="15118" max="15118" width="12.33203125" style="385" bestFit="1" customWidth="1"/>
    <col min="15119" max="15119" width="12.5546875" style="385" bestFit="1" customWidth="1"/>
    <col min="15120" max="15360" width="8.88671875" style="385"/>
    <col min="15361" max="15361" width="15.5546875" style="385" customWidth="1"/>
    <col min="15362" max="15362" width="14" style="385" customWidth="1"/>
    <col min="15363" max="15363" width="16.6640625" style="385" customWidth="1"/>
    <col min="15364" max="15364" width="84.109375" style="385" customWidth="1"/>
    <col min="15365" max="15365" width="6.44140625" style="385" customWidth="1"/>
    <col min="15366" max="15367" width="11.88671875" style="385" customWidth="1"/>
    <col min="15368" max="15368" width="8.109375" style="385" customWidth="1"/>
    <col min="15369" max="15369" width="13.6640625" style="385" customWidth="1"/>
    <col min="15370" max="15370" width="11.6640625" style="385" customWidth="1"/>
    <col min="15371" max="15371" width="11" style="385" customWidth="1"/>
    <col min="15372" max="15372" width="14.88671875" style="385" bestFit="1" customWidth="1"/>
    <col min="15373" max="15373" width="15" style="385" bestFit="1" customWidth="1"/>
    <col min="15374" max="15374" width="12.33203125" style="385" bestFit="1" customWidth="1"/>
    <col min="15375" max="15375" width="12.5546875" style="385" bestFit="1" customWidth="1"/>
    <col min="15376" max="15616" width="8.88671875" style="385"/>
    <col min="15617" max="15617" width="15.5546875" style="385" customWidth="1"/>
    <col min="15618" max="15618" width="14" style="385" customWidth="1"/>
    <col min="15619" max="15619" width="16.6640625" style="385" customWidth="1"/>
    <col min="15620" max="15620" width="84.109375" style="385" customWidth="1"/>
    <col min="15621" max="15621" width="6.44140625" style="385" customWidth="1"/>
    <col min="15622" max="15623" width="11.88671875" style="385" customWidth="1"/>
    <col min="15624" max="15624" width="8.109375" style="385" customWidth="1"/>
    <col min="15625" max="15625" width="13.6640625" style="385" customWidth="1"/>
    <col min="15626" max="15626" width="11.6640625" style="385" customWidth="1"/>
    <col min="15627" max="15627" width="11" style="385" customWidth="1"/>
    <col min="15628" max="15628" width="14.88671875" style="385" bestFit="1" customWidth="1"/>
    <col min="15629" max="15629" width="15" style="385" bestFit="1" customWidth="1"/>
    <col min="15630" max="15630" width="12.33203125" style="385" bestFit="1" customWidth="1"/>
    <col min="15631" max="15631" width="12.5546875" style="385" bestFit="1" customWidth="1"/>
    <col min="15632" max="15872" width="8.88671875" style="385"/>
    <col min="15873" max="15873" width="15.5546875" style="385" customWidth="1"/>
    <col min="15874" max="15874" width="14" style="385" customWidth="1"/>
    <col min="15875" max="15875" width="16.6640625" style="385" customWidth="1"/>
    <col min="15876" max="15876" width="84.109375" style="385" customWidth="1"/>
    <col min="15877" max="15877" width="6.44140625" style="385" customWidth="1"/>
    <col min="15878" max="15879" width="11.88671875" style="385" customWidth="1"/>
    <col min="15880" max="15880" width="8.109375" style="385" customWidth="1"/>
    <col min="15881" max="15881" width="13.6640625" style="385" customWidth="1"/>
    <col min="15882" max="15882" width="11.6640625" style="385" customWidth="1"/>
    <col min="15883" max="15883" width="11" style="385" customWidth="1"/>
    <col min="15884" max="15884" width="14.88671875" style="385" bestFit="1" customWidth="1"/>
    <col min="15885" max="15885" width="15" style="385" bestFit="1" customWidth="1"/>
    <col min="15886" max="15886" width="12.33203125" style="385" bestFit="1" customWidth="1"/>
    <col min="15887" max="15887" width="12.5546875" style="385" bestFit="1" customWidth="1"/>
    <col min="15888" max="16128" width="8.88671875" style="385"/>
    <col min="16129" max="16129" width="15.5546875" style="385" customWidth="1"/>
    <col min="16130" max="16130" width="14" style="385" customWidth="1"/>
    <col min="16131" max="16131" width="16.6640625" style="385" customWidth="1"/>
    <col min="16132" max="16132" width="84.109375" style="385" customWidth="1"/>
    <col min="16133" max="16133" width="6.44140625" style="385" customWidth="1"/>
    <col min="16134" max="16135" width="11.88671875" style="385" customWidth="1"/>
    <col min="16136" max="16136" width="8.109375" style="385" customWidth="1"/>
    <col min="16137" max="16137" width="13.6640625" style="385" customWidth="1"/>
    <col min="16138" max="16138" width="11.6640625" style="385" customWidth="1"/>
    <col min="16139" max="16139" width="11" style="385" customWidth="1"/>
    <col min="16140" max="16140" width="14.88671875" style="385" bestFit="1" customWidth="1"/>
    <col min="16141" max="16141" width="15" style="385" bestFit="1" customWidth="1"/>
    <col min="16142" max="16142" width="12.33203125" style="385" bestFit="1" customWidth="1"/>
    <col min="16143" max="16143" width="12.5546875" style="385" bestFit="1" customWidth="1"/>
    <col min="16144" max="16384" width="8.88671875" style="385"/>
  </cols>
  <sheetData>
    <row r="1" spans="1:13" customFormat="1" ht="14.4" x14ac:dyDescent="0.3">
      <c r="A1" s="757" t="str">
        <f>COMPOSIÇÃO!A1</f>
        <v>PREFEITURA MUNICIPAL DE CATALÃO</v>
      </c>
      <c r="B1" s="758"/>
      <c r="C1" s="758"/>
      <c r="D1" s="758"/>
      <c r="E1" s="758"/>
      <c r="F1" s="758"/>
      <c r="G1" s="758"/>
      <c r="H1" s="758"/>
      <c r="I1" s="759"/>
      <c r="J1" s="384" t="s">
        <v>1262</v>
      </c>
      <c r="K1">
        <v>14</v>
      </c>
      <c r="L1" s="384" t="s">
        <v>1263</v>
      </c>
    </row>
    <row r="2" spans="1:13" customFormat="1" ht="14.4" x14ac:dyDescent="0.3">
      <c r="A2" s="760" t="str">
        <f>COMPOSIÇÃO!A2</f>
        <v>SECRETARIA MUNICIPAL DE TRANSPORTES</v>
      </c>
      <c r="B2" s="761"/>
      <c r="C2" s="761"/>
      <c r="D2" s="761"/>
      <c r="E2" s="761"/>
      <c r="F2" s="761"/>
      <c r="G2" s="761"/>
      <c r="H2" s="761"/>
      <c r="I2" s="762"/>
    </row>
    <row r="3" spans="1:13" customFormat="1" ht="14.4" x14ac:dyDescent="0.3">
      <c r="A3" s="760" t="s">
        <v>1287</v>
      </c>
      <c r="B3" s="761"/>
      <c r="C3" s="761"/>
      <c r="D3" s="761"/>
      <c r="E3" s="761"/>
      <c r="F3" s="761"/>
      <c r="G3" s="761"/>
      <c r="H3" s="761"/>
      <c r="I3" s="762"/>
    </row>
    <row r="4" spans="1:13" customFormat="1" ht="14.4" x14ac:dyDescent="0.3">
      <c r="A4" s="760" t="str">
        <f>COMPOSIÇÃO!A4</f>
        <v>ARCO VIÁRIO, KM 2, ZONA RURAL, CATALÃO - GO</v>
      </c>
      <c r="B4" s="761"/>
      <c r="C4" s="761"/>
      <c r="D4" s="761"/>
      <c r="E4" s="761"/>
      <c r="F4" s="761"/>
      <c r="G4" s="761"/>
      <c r="H4" s="761"/>
      <c r="I4" s="762"/>
    </row>
    <row r="5" spans="1:13" customFormat="1" ht="14.4" x14ac:dyDescent="0.3">
      <c r="A5" s="760" t="str">
        <f>COMPOSIÇÃO!A5</f>
        <v>GOINFRA - TABELA 174 - CUSTOS DE OBRAS CIVIS - JUL/2022 - COM DESENERAÇÃO</v>
      </c>
      <c r="B5" s="761"/>
      <c r="C5" s="761"/>
      <c r="D5" s="761"/>
      <c r="E5" s="761"/>
      <c r="F5" s="761"/>
      <c r="G5" s="761"/>
      <c r="H5" s="761"/>
      <c r="I5" s="762"/>
    </row>
    <row r="6" spans="1:13" customFormat="1" ht="14.4" x14ac:dyDescent="0.3">
      <c r="A6" s="760" t="str">
        <f>COMPOSIÇÃO!A6</f>
        <v>SINAPI - JUL/2022 - COMPOSIÇÃO SINTÉTICA - DESONERADA</v>
      </c>
      <c r="B6" s="761"/>
      <c r="C6" s="761"/>
      <c r="D6" s="761"/>
      <c r="E6" s="761"/>
      <c r="F6" s="761"/>
      <c r="G6" s="761"/>
      <c r="H6" s="761"/>
      <c r="I6" s="762"/>
    </row>
    <row r="7" spans="1:13" customFormat="1" ht="14.4" x14ac:dyDescent="0.3">
      <c r="A7" s="760" t="str">
        <f>COMPOSIÇÃO!A7</f>
        <v>SINAPI - JUL/2022 - PREÇO DE INSUMOS - DESONERADA</v>
      </c>
      <c r="B7" s="761"/>
      <c r="C7" s="761"/>
      <c r="D7" s="761"/>
      <c r="E7" s="761"/>
      <c r="F7" s="761"/>
      <c r="G7" s="761"/>
      <c r="H7" s="761"/>
      <c r="I7" s="762"/>
    </row>
    <row r="8" spans="1:13" customFormat="1" ht="14.4" x14ac:dyDescent="0.3">
      <c r="A8" s="760" t="str">
        <f>COMPOSIÇÃO!A8</f>
        <v>GOINFRA - TABELA T77 - TERRAPLENAGEM, PAVIMENTAÇÃO E OBRAS DE ARTE ESPECIAIS - JUL/22 - COM DESONERAÇÃO</v>
      </c>
      <c r="B8" s="761"/>
      <c r="C8" s="761"/>
      <c r="D8" s="761"/>
      <c r="E8" s="761"/>
      <c r="F8" s="761"/>
      <c r="G8" s="761"/>
      <c r="H8" s="761"/>
      <c r="I8" s="762"/>
    </row>
    <row r="9" spans="1:13" customFormat="1" ht="14.4" x14ac:dyDescent="0.3">
      <c r="A9" s="763"/>
      <c r="B9" s="764"/>
      <c r="C9" s="764"/>
      <c r="D9" s="764"/>
      <c r="E9" s="764"/>
      <c r="F9" s="764"/>
      <c r="G9" s="764"/>
      <c r="H9" s="764"/>
      <c r="I9" s="765"/>
    </row>
    <row r="10" spans="1:13" customFormat="1" ht="14.4" x14ac:dyDescent="0.3">
      <c r="A10" s="635" t="str">
        <f>COMPOSIÇÃO!A10</f>
        <v>CATALÃO 20/07/2022</v>
      </c>
      <c r="B10" s="690"/>
      <c r="C10" s="690"/>
      <c r="D10" s="690"/>
      <c r="E10" s="690"/>
      <c r="F10" s="690"/>
      <c r="G10" s="690"/>
      <c r="H10" s="690"/>
      <c r="I10" s="637"/>
    </row>
    <row r="11" spans="1:13" s="386" customFormat="1" ht="24" x14ac:dyDescent="0.3">
      <c r="A11" s="435" t="s">
        <v>1171</v>
      </c>
      <c r="B11" s="401" t="s">
        <v>1237</v>
      </c>
      <c r="C11" s="401" t="s">
        <v>1264</v>
      </c>
      <c r="D11" s="401" t="s">
        <v>1265</v>
      </c>
      <c r="E11" s="401" t="s">
        <v>1253</v>
      </c>
      <c r="F11" s="402" t="s">
        <v>4</v>
      </c>
      <c r="G11" s="401" t="s">
        <v>545</v>
      </c>
      <c r="H11" s="401" t="s">
        <v>1266</v>
      </c>
      <c r="I11" s="408" t="s">
        <v>546</v>
      </c>
      <c r="J11" s="386" t="s">
        <v>568</v>
      </c>
      <c r="K11" s="386">
        <v>0</v>
      </c>
    </row>
    <row r="12" spans="1:13" s="386" customFormat="1" x14ac:dyDescent="0.3">
      <c r="A12" s="436" t="s">
        <v>1268</v>
      </c>
      <c r="B12" s="403"/>
      <c r="C12" s="403"/>
      <c r="D12" s="403"/>
      <c r="E12" s="403"/>
      <c r="F12" s="403"/>
      <c r="G12" s="404"/>
      <c r="H12" s="403"/>
      <c r="I12" s="409"/>
      <c r="K12" s="386">
        <v>261</v>
      </c>
      <c r="L12" s="386" t="s">
        <v>1269</v>
      </c>
    </row>
    <row r="13" spans="1:13" s="386" customFormat="1" x14ac:dyDescent="0.3">
      <c r="A13" s="437"/>
      <c r="B13" s="387" t="s">
        <v>11</v>
      </c>
      <c r="C13" s="387"/>
      <c r="D13" s="388" t="s">
        <v>1270</v>
      </c>
      <c r="E13" s="389" t="s">
        <v>1267</v>
      </c>
      <c r="F13" s="390">
        <v>1</v>
      </c>
      <c r="G13" s="391">
        <f t="shared" ref="G13:G28" si="0">K13*$K$12*2*(1+$K$11)</f>
        <v>3022.38</v>
      </c>
      <c r="H13" s="391"/>
      <c r="I13" s="410">
        <f t="shared" ref="I13:I28" si="1">F13*G13</f>
        <v>3022.38</v>
      </c>
      <c r="J13" s="392"/>
      <c r="K13" s="395">
        <v>5.79</v>
      </c>
      <c r="M13" s="393"/>
    </row>
    <row r="14" spans="1:13" s="386" customFormat="1" x14ac:dyDescent="0.3">
      <c r="A14" s="437"/>
      <c r="B14" s="387" t="s">
        <v>11</v>
      </c>
      <c r="C14" s="387"/>
      <c r="D14" s="388" t="s">
        <v>1271</v>
      </c>
      <c r="E14" s="389" t="s">
        <v>1267</v>
      </c>
      <c r="F14" s="390">
        <v>1</v>
      </c>
      <c r="G14" s="391">
        <f t="shared" si="0"/>
        <v>6049.98</v>
      </c>
      <c r="H14" s="391"/>
      <c r="I14" s="410">
        <f t="shared" si="1"/>
        <v>6049.98</v>
      </c>
      <c r="J14" s="392"/>
      <c r="K14" s="395">
        <v>11.59</v>
      </c>
      <c r="M14" s="393"/>
    </row>
    <row r="15" spans="1:13" s="386" customFormat="1" x14ac:dyDescent="0.3">
      <c r="A15" s="437"/>
      <c r="B15" s="387" t="s">
        <v>11</v>
      </c>
      <c r="C15" s="387"/>
      <c r="D15" s="388" t="s">
        <v>1272</v>
      </c>
      <c r="E15" s="389" t="s">
        <v>1267</v>
      </c>
      <c r="F15" s="390">
        <v>1</v>
      </c>
      <c r="G15" s="391">
        <f t="shared" si="0"/>
        <v>6049.98</v>
      </c>
      <c r="H15" s="391"/>
      <c r="I15" s="410">
        <f t="shared" si="1"/>
        <v>6049.98</v>
      </c>
      <c r="J15" s="392"/>
      <c r="K15" s="395">
        <v>11.59</v>
      </c>
      <c r="M15" s="393"/>
    </row>
    <row r="16" spans="1:13" s="386" customFormat="1" x14ac:dyDescent="0.3">
      <c r="A16" s="437"/>
      <c r="B16" s="387" t="s">
        <v>11</v>
      </c>
      <c r="C16" s="387"/>
      <c r="D16" s="388" t="s">
        <v>1273</v>
      </c>
      <c r="E16" s="389" t="s">
        <v>1267</v>
      </c>
      <c r="F16" s="390">
        <v>1</v>
      </c>
      <c r="G16" s="391">
        <f t="shared" si="0"/>
        <v>3022.38</v>
      </c>
      <c r="H16" s="391"/>
      <c r="I16" s="410">
        <f t="shared" si="1"/>
        <v>3022.38</v>
      </c>
      <c r="J16" s="392"/>
      <c r="K16" s="395">
        <v>5.79</v>
      </c>
      <c r="M16" s="393"/>
    </row>
    <row r="17" spans="1:15" s="386" customFormat="1" x14ac:dyDescent="0.3">
      <c r="A17" s="437"/>
      <c r="B17" s="387" t="s">
        <v>11</v>
      </c>
      <c r="C17" s="387"/>
      <c r="D17" s="388" t="s">
        <v>1274</v>
      </c>
      <c r="E17" s="389" t="s">
        <v>1267</v>
      </c>
      <c r="F17" s="390">
        <v>1</v>
      </c>
      <c r="G17" s="391">
        <f t="shared" si="0"/>
        <v>6049.98</v>
      </c>
      <c r="H17" s="391"/>
      <c r="I17" s="410">
        <f t="shared" si="1"/>
        <v>6049.98</v>
      </c>
      <c r="J17" s="392"/>
      <c r="K17" s="395">
        <v>11.59</v>
      </c>
      <c r="M17" s="393"/>
    </row>
    <row r="18" spans="1:15" s="386" customFormat="1" x14ac:dyDescent="0.3">
      <c r="A18" s="437"/>
      <c r="B18" s="387" t="s">
        <v>11</v>
      </c>
      <c r="C18" s="387"/>
      <c r="D18" s="388" t="s">
        <v>1275</v>
      </c>
      <c r="E18" s="389" t="s">
        <v>1267</v>
      </c>
      <c r="F18" s="390">
        <v>1</v>
      </c>
      <c r="G18" s="391">
        <f t="shared" si="0"/>
        <v>3022.38</v>
      </c>
      <c r="H18" s="391"/>
      <c r="I18" s="410">
        <f t="shared" si="1"/>
        <v>3022.38</v>
      </c>
      <c r="J18" s="392"/>
      <c r="K18" s="395">
        <v>5.79</v>
      </c>
      <c r="M18" s="393"/>
    </row>
    <row r="19" spans="1:15" s="386" customFormat="1" x14ac:dyDescent="0.3">
      <c r="A19" s="437"/>
      <c r="B19" s="387" t="s">
        <v>11</v>
      </c>
      <c r="C19" s="387"/>
      <c r="D19" s="388" t="s">
        <v>1276</v>
      </c>
      <c r="E19" s="389" t="s">
        <v>1267</v>
      </c>
      <c r="F19" s="390">
        <v>1</v>
      </c>
      <c r="G19" s="391">
        <f t="shared" si="0"/>
        <v>3022.38</v>
      </c>
      <c r="H19" s="391"/>
      <c r="I19" s="410">
        <f t="shared" si="1"/>
        <v>3022.38</v>
      </c>
      <c r="J19" s="392"/>
      <c r="K19" s="395">
        <v>5.79</v>
      </c>
      <c r="M19" s="393"/>
    </row>
    <row r="20" spans="1:15" s="386" customFormat="1" x14ac:dyDescent="0.3">
      <c r="A20" s="437"/>
      <c r="B20" s="387" t="s">
        <v>11</v>
      </c>
      <c r="C20" s="387"/>
      <c r="D20" s="388" t="s">
        <v>1277</v>
      </c>
      <c r="E20" s="389" t="s">
        <v>1267</v>
      </c>
      <c r="F20" s="390">
        <v>1</v>
      </c>
      <c r="G20" s="391">
        <f t="shared" si="0"/>
        <v>3022.38</v>
      </c>
      <c r="H20" s="391"/>
      <c r="I20" s="410">
        <f t="shared" si="1"/>
        <v>3022.38</v>
      </c>
      <c r="J20" s="392"/>
      <c r="K20" s="395">
        <v>5.79</v>
      </c>
      <c r="M20" s="393"/>
    </row>
    <row r="21" spans="1:15" s="386" customFormat="1" x14ac:dyDescent="0.3">
      <c r="A21" s="437"/>
      <c r="B21" s="387" t="s">
        <v>11</v>
      </c>
      <c r="C21" s="387"/>
      <c r="D21" s="388" t="s">
        <v>1278</v>
      </c>
      <c r="E21" s="389" t="s">
        <v>1267</v>
      </c>
      <c r="F21" s="390">
        <v>1</v>
      </c>
      <c r="G21" s="391">
        <f t="shared" si="0"/>
        <v>3022.38</v>
      </c>
      <c r="H21" s="391"/>
      <c r="I21" s="410">
        <f t="shared" si="1"/>
        <v>3022.38</v>
      </c>
      <c r="J21" s="392"/>
      <c r="K21" s="395">
        <v>5.79</v>
      </c>
      <c r="M21" s="393"/>
    </row>
    <row r="22" spans="1:15" s="386" customFormat="1" x14ac:dyDescent="0.3">
      <c r="A22" s="437"/>
      <c r="B22" s="387" t="s">
        <v>11</v>
      </c>
      <c r="C22" s="387"/>
      <c r="D22" s="388" t="s">
        <v>1279</v>
      </c>
      <c r="E22" s="389" t="s">
        <v>1267</v>
      </c>
      <c r="F22" s="390">
        <v>1</v>
      </c>
      <c r="G22" s="391">
        <f t="shared" si="0"/>
        <v>6049.98</v>
      </c>
      <c r="H22" s="391"/>
      <c r="I22" s="410">
        <f t="shared" si="1"/>
        <v>6049.98</v>
      </c>
      <c r="J22" s="392"/>
      <c r="K22" s="395">
        <v>11.59</v>
      </c>
      <c r="M22" s="393"/>
    </row>
    <row r="23" spans="1:15" s="386" customFormat="1" x14ac:dyDescent="0.3">
      <c r="A23" s="437"/>
      <c r="B23" s="387" t="s">
        <v>11</v>
      </c>
      <c r="C23" s="387"/>
      <c r="D23" s="388" t="s">
        <v>1280</v>
      </c>
      <c r="E23" s="389" t="s">
        <v>1267</v>
      </c>
      <c r="F23" s="390">
        <v>1</v>
      </c>
      <c r="G23" s="391">
        <f t="shared" si="0"/>
        <v>6034.3200000000006</v>
      </c>
      <c r="H23" s="391"/>
      <c r="I23" s="410">
        <f t="shared" si="1"/>
        <v>6034.3200000000006</v>
      </c>
      <c r="J23" s="392"/>
      <c r="K23" s="395">
        <v>11.56</v>
      </c>
      <c r="M23" s="393"/>
    </row>
    <row r="24" spans="1:15" s="386" customFormat="1" x14ac:dyDescent="0.3">
      <c r="A24" s="437"/>
      <c r="B24" s="387" t="s">
        <v>11</v>
      </c>
      <c r="C24" s="387"/>
      <c r="D24" s="388" t="s">
        <v>1260</v>
      </c>
      <c r="E24" s="389" t="s">
        <v>1267</v>
      </c>
      <c r="F24" s="390">
        <v>1</v>
      </c>
      <c r="G24" s="391">
        <f t="shared" si="0"/>
        <v>3022.38</v>
      </c>
      <c r="H24" s="391"/>
      <c r="I24" s="410">
        <f t="shared" si="1"/>
        <v>3022.38</v>
      </c>
      <c r="J24" s="392"/>
      <c r="K24" s="395">
        <v>5.79</v>
      </c>
      <c r="M24" s="393"/>
    </row>
    <row r="25" spans="1:15" s="386" customFormat="1" x14ac:dyDescent="0.3">
      <c r="A25" s="437"/>
      <c r="B25" s="387" t="s">
        <v>11</v>
      </c>
      <c r="C25" s="387"/>
      <c r="D25" s="388" t="s">
        <v>1281</v>
      </c>
      <c r="E25" s="389" t="s">
        <v>1267</v>
      </c>
      <c r="F25" s="390">
        <v>6</v>
      </c>
      <c r="G25" s="391">
        <f t="shared" si="0"/>
        <v>3450.42</v>
      </c>
      <c r="H25" s="391"/>
      <c r="I25" s="410">
        <f t="shared" si="1"/>
        <v>20702.52</v>
      </c>
      <c r="J25" s="392"/>
      <c r="K25" s="395">
        <v>6.61</v>
      </c>
      <c r="M25" s="393"/>
    </row>
    <row r="26" spans="1:15" s="386" customFormat="1" x14ac:dyDescent="0.3">
      <c r="A26" s="437"/>
      <c r="B26" s="387" t="s">
        <v>11</v>
      </c>
      <c r="C26" s="387"/>
      <c r="D26" s="388" t="s">
        <v>1282</v>
      </c>
      <c r="E26" s="389" t="s">
        <v>1267</v>
      </c>
      <c r="F26" s="390">
        <v>1</v>
      </c>
      <c r="G26" s="391">
        <f t="shared" si="0"/>
        <v>3074.58</v>
      </c>
      <c r="H26" s="391"/>
      <c r="I26" s="410">
        <f t="shared" si="1"/>
        <v>3074.58</v>
      </c>
      <c r="J26" s="392"/>
      <c r="K26" s="395">
        <v>5.89</v>
      </c>
      <c r="M26" s="393"/>
    </row>
    <row r="27" spans="1:15" s="386" customFormat="1" x14ac:dyDescent="0.3">
      <c r="A27" s="437"/>
      <c r="B27" s="387" t="s">
        <v>11</v>
      </c>
      <c r="C27" s="387"/>
      <c r="D27" s="388" t="s">
        <v>1283</v>
      </c>
      <c r="E27" s="389" t="s">
        <v>1267</v>
      </c>
      <c r="F27" s="390">
        <v>1</v>
      </c>
      <c r="G27" s="391">
        <f t="shared" si="0"/>
        <v>3737.52</v>
      </c>
      <c r="H27" s="391"/>
      <c r="I27" s="410">
        <f t="shared" si="1"/>
        <v>3737.52</v>
      </c>
      <c r="J27" s="392"/>
      <c r="K27" s="395">
        <v>7.16</v>
      </c>
      <c r="M27" s="393"/>
    </row>
    <row r="28" spans="1:15" s="386" customFormat="1" x14ac:dyDescent="0.3">
      <c r="A28" s="437"/>
      <c r="B28" s="387" t="s">
        <v>11</v>
      </c>
      <c r="C28" s="387"/>
      <c r="D28" s="388" t="s">
        <v>1284</v>
      </c>
      <c r="E28" s="389" t="s">
        <v>1267</v>
      </c>
      <c r="F28" s="390">
        <v>1</v>
      </c>
      <c r="G28" s="391">
        <f t="shared" si="0"/>
        <v>2933.64</v>
      </c>
      <c r="H28" s="391"/>
      <c r="I28" s="410">
        <f t="shared" si="1"/>
        <v>2933.64</v>
      </c>
      <c r="J28" s="392"/>
      <c r="K28" s="395">
        <v>5.62</v>
      </c>
      <c r="M28" s="393"/>
    </row>
    <row r="29" spans="1:15" s="386" customFormat="1" ht="14.4" thickBot="1" x14ac:dyDescent="0.35">
      <c r="A29" s="438"/>
      <c r="B29" s="439"/>
      <c r="C29" s="439"/>
      <c r="D29" s="439"/>
      <c r="E29" s="439"/>
      <c r="F29" s="440"/>
      <c r="G29" s="441"/>
      <c r="H29" s="442" t="s">
        <v>1285</v>
      </c>
      <c r="I29" s="443">
        <f>SUM(I13:I28)</f>
        <v>81839.16</v>
      </c>
      <c r="L29" s="394"/>
      <c r="M29" s="394"/>
      <c r="N29" s="394"/>
      <c r="O29" s="396"/>
    </row>
    <row r="30" spans="1:15" s="386" customFormat="1" x14ac:dyDescent="0.3">
      <c r="A30" s="444"/>
      <c r="B30" s="444"/>
      <c r="C30" s="444"/>
      <c r="D30" s="444"/>
      <c r="E30" s="444"/>
      <c r="F30" s="445"/>
      <c r="G30" s="446"/>
      <c r="H30" s="447"/>
      <c r="I30" s="448"/>
      <c r="L30" s="394"/>
      <c r="M30" s="394"/>
      <c r="N30" s="394"/>
      <c r="O30" s="396"/>
    </row>
    <row r="31" spans="1:15" s="386" customFormat="1" x14ac:dyDescent="0.3">
      <c r="A31" s="444"/>
      <c r="B31" s="444"/>
      <c r="C31" s="444"/>
      <c r="D31" s="444"/>
      <c r="E31" s="444"/>
      <c r="F31" s="445"/>
      <c r="G31" s="446"/>
      <c r="H31" s="447"/>
      <c r="I31" s="448"/>
      <c r="L31" s="394"/>
      <c r="M31" s="394"/>
      <c r="N31" s="394"/>
      <c r="O31" s="396"/>
    </row>
    <row r="32" spans="1:15" x14ac:dyDescent="0.3">
      <c r="A32" s="397"/>
      <c r="B32" s="397"/>
      <c r="C32" s="397"/>
      <c r="D32" s="386"/>
      <c r="E32" s="397"/>
      <c r="F32" s="398"/>
      <c r="H32" s="398"/>
      <c r="I32" s="398"/>
    </row>
    <row r="33" spans="1:9" ht="14.4" x14ac:dyDescent="0.3">
      <c r="A33" s="557" t="s">
        <v>753</v>
      </c>
      <c r="B33" s="557"/>
      <c r="C33" s="557"/>
      <c r="D33" s="557"/>
      <c r="E33" s="557"/>
      <c r="F33" s="557"/>
      <c r="G33" s="557"/>
      <c r="H33" s="557"/>
      <c r="I33" s="557"/>
    </row>
    <row r="34" spans="1:9" ht="14.4" customHeight="1" x14ac:dyDescent="0.3">
      <c r="A34" s="558" t="s">
        <v>1311</v>
      </c>
      <c r="B34" s="558"/>
      <c r="C34" s="558"/>
      <c r="D34" s="558"/>
      <c r="E34" s="558"/>
      <c r="F34" s="558"/>
      <c r="G34" s="558"/>
      <c r="H34" s="558"/>
      <c r="I34" s="558"/>
    </row>
    <row r="35" spans="1:9" ht="14.4" customHeight="1" x14ac:dyDescent="0.3">
      <c r="A35" s="558" t="s">
        <v>1312</v>
      </c>
      <c r="B35" s="558"/>
      <c r="C35" s="558"/>
      <c r="D35" s="558"/>
      <c r="E35" s="558"/>
      <c r="F35" s="558"/>
      <c r="G35" s="558"/>
      <c r="H35" s="558"/>
      <c r="I35" s="558"/>
    </row>
  </sheetData>
  <mergeCells count="13">
    <mergeCell ref="A33:I33"/>
    <mergeCell ref="A34:I34"/>
    <mergeCell ref="A35:I35"/>
    <mergeCell ref="A10:I10"/>
    <mergeCell ref="A1:I1"/>
    <mergeCell ref="A2:I2"/>
    <mergeCell ref="A3:I3"/>
    <mergeCell ref="A4:I4"/>
    <mergeCell ref="A5:I5"/>
    <mergeCell ref="A6:I6"/>
    <mergeCell ref="A7:I7"/>
    <mergeCell ref="A8:I8"/>
    <mergeCell ref="A9:I9"/>
  </mergeCells>
  <pageMargins left="0.511811024" right="0.511811024" top="0.78740157499999996" bottom="0.78740157499999996" header="0.31496062000000002" footer="0.31496062000000002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ORÇAMENTO</vt:lpstr>
      <vt:lpstr>MEMÓRIA DE CÁLCULO</vt:lpstr>
      <vt:lpstr>BDI</vt:lpstr>
      <vt:lpstr>CRONOGRAMA</vt:lpstr>
      <vt:lpstr>MATERIAL ASFÁLTICO</vt:lpstr>
      <vt:lpstr>COMPOSIÇÃO</vt:lpstr>
      <vt:lpstr>MOBILIZAÇÃO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2022-09-29T17:04:10Z</dcterms:modified>
</cp:coreProperties>
</file>