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luissevero/Desktop/"/>
    </mc:Choice>
  </mc:AlternateContent>
  <xr:revisionPtr revIDLastSave="0" documentId="13_ncr:1_{8C47782C-335E-C146-8BC8-C718F5CD5870}" xr6:coauthVersionLast="47" xr6:coauthVersionMax="47" xr10:uidLastSave="{00000000-0000-0000-0000-000000000000}"/>
  <bookViews>
    <workbookView xWindow="0" yWindow="500" windowWidth="23260" windowHeight="12460" tabRatio="770" firstSheet="3" activeTab="3" xr2:uid="{00000000-000D-0000-FFFF-FFFF00000000}"/>
  </bookViews>
  <sheets>
    <sheet name="DADOS " sheetId="13" r:id="rId1"/>
    <sheet name="PRODUTOS BETUMINOSOS" sheetId="14" r:id="rId2"/>
    <sheet name="MEMÓRIA DE CÁLCULO" sheetId="1" r:id="rId3"/>
    <sheet name="ORÇAMENTO" sheetId="19" r:id="rId4"/>
    <sheet name="BDI" sheetId="20" r:id="rId5"/>
    <sheet name="MOBILIZAÇÃO EQUIPAMENTOS" sheetId="18" r:id="rId6"/>
    <sheet name="ADMINISTRAÇÃO LOCAL" sheetId="16" r:id="rId7"/>
    <sheet name="CANTEIRO DE OBRAS" sheetId="17" r:id="rId8"/>
    <sheet name="CRONOGRAMA" sheetId="21" r:id="rId9"/>
    <sheet name="FINANCEIRO" sheetId="22" r:id="rId10"/>
  </sheets>
  <definedNames>
    <definedName name="_xlnm.Print_Area" localSheetId="4">BDI!$A$1:$J$21</definedName>
    <definedName name="_xlnm.Print_Area" localSheetId="8">CRONOGRAMA!$A$1:$J$20</definedName>
    <definedName name="_xlnm.Print_Area" localSheetId="0">'DADOS '!$A$1:$F$25</definedName>
    <definedName name="_xlnm.Print_Area" localSheetId="2">'MEMÓRIA DE CÁLCULO'!$A$1:$K$65</definedName>
    <definedName name="_xlnm.Print_Area" localSheetId="3">ORÇAMENTO!$A$1:$I$69</definedName>
    <definedName name="_xlnm.Print_Area" localSheetId="1">'PRODUTOS BETUMINOSOS'!$A$4:$J$45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I15" i="1"/>
  <c r="I26" i="1" l="1"/>
  <c r="G26" i="19" s="1"/>
  <c r="G35" i="19"/>
  <c r="G37" i="19"/>
  <c r="G38" i="19"/>
  <c r="G39" i="19"/>
  <c r="G40" i="19"/>
  <c r="F12" i="13" l="1"/>
  <c r="E16" i="13" s="1"/>
  <c r="H45" i="19"/>
  <c r="G45" i="19"/>
  <c r="F45" i="19"/>
  <c r="D45" i="19"/>
  <c r="C45" i="19"/>
  <c r="I36" i="1"/>
  <c r="G36" i="19" s="1"/>
  <c r="I34" i="1"/>
  <c r="G34" i="19" s="1"/>
  <c r="I33" i="1"/>
  <c r="G33" i="19" s="1"/>
  <c r="C16" i="16"/>
  <c r="C15" i="16"/>
  <c r="C14" i="16"/>
  <c r="C13" i="16"/>
  <c r="C12" i="16"/>
  <c r="K45" i="1"/>
  <c r="I28" i="14"/>
  <c r="I45" i="19" l="1"/>
  <c r="H11" i="19"/>
  <c r="H10" i="19"/>
  <c r="I9" i="1" l="1"/>
  <c r="I12" i="1"/>
  <c r="K12" i="1" s="1"/>
  <c r="J15" i="13"/>
  <c r="C12" i="19"/>
  <c r="C11" i="19"/>
  <c r="C10" i="19"/>
  <c r="E7" i="21"/>
  <c r="F7" i="21"/>
  <c r="G7" i="21"/>
  <c r="D7" i="21"/>
  <c r="C7" i="21"/>
  <c r="H7" i="21" s="1"/>
  <c r="D12" i="19"/>
  <c r="H12" i="19"/>
  <c r="D9" i="21"/>
  <c r="E9" i="21"/>
  <c r="F9" i="21"/>
  <c r="G9" i="21"/>
  <c r="C9" i="21"/>
  <c r="H13" i="21"/>
  <c r="G13" i="21"/>
  <c r="F12" i="21"/>
  <c r="G12" i="21"/>
  <c r="H12" i="21"/>
  <c r="E12" i="21"/>
  <c r="H10" i="21"/>
  <c r="E10" i="21"/>
  <c r="F10" i="21"/>
  <c r="G10" i="21"/>
  <c r="D10" i="21"/>
  <c r="G11" i="21"/>
  <c r="H11" i="21"/>
  <c r="B13" i="21"/>
  <c r="A8" i="22" s="1"/>
  <c r="B12" i="21"/>
  <c r="A7" i="22" s="1"/>
  <c r="B11" i="21"/>
  <c r="A6" i="22" s="1"/>
  <c r="B10" i="21"/>
  <c r="A5" i="22" s="1"/>
  <c r="B9" i="21"/>
  <c r="A4" i="22" s="1"/>
  <c r="B8" i="21"/>
  <c r="A3" i="22" s="1"/>
  <c r="B7" i="21"/>
  <c r="A2" i="22" s="1"/>
  <c r="F11" i="21"/>
  <c r="E11" i="21"/>
  <c r="I13" i="1" l="1"/>
  <c r="I57" i="1"/>
  <c r="I54" i="1"/>
  <c r="I53" i="1"/>
  <c r="H44" i="19"/>
  <c r="H43" i="19"/>
  <c r="I43" i="1"/>
  <c r="G43" i="19" s="1"/>
  <c r="K36" i="1"/>
  <c r="K35" i="1"/>
  <c r="K34" i="1"/>
  <c r="K33" i="1"/>
  <c r="H37" i="19"/>
  <c r="H39" i="19"/>
  <c r="H38" i="19"/>
  <c r="H40" i="19"/>
  <c r="H30" i="19"/>
  <c r="H29" i="19"/>
  <c r="H28" i="19"/>
  <c r="H27" i="19"/>
  <c r="I50" i="1"/>
  <c r="G50" i="19" s="1"/>
  <c r="H26" i="19"/>
  <c r="H25" i="19"/>
  <c r="H24" i="19"/>
  <c r="H23" i="19"/>
  <c r="H22" i="19"/>
  <c r="H21" i="19"/>
  <c r="H20" i="19"/>
  <c r="H17" i="19"/>
  <c r="H16" i="19"/>
  <c r="H15" i="19"/>
  <c r="H14" i="19"/>
  <c r="H13" i="19"/>
  <c r="H9" i="19"/>
  <c r="G27" i="19"/>
  <c r="E8" i="13"/>
  <c r="B12" i="13"/>
  <c r="I16" i="1" s="1"/>
  <c r="G25" i="19"/>
  <c r="I43" i="19" l="1"/>
  <c r="I39" i="19"/>
  <c r="I27" i="19"/>
  <c r="I40" i="19"/>
  <c r="K40" i="1"/>
  <c r="I26" i="19"/>
  <c r="I37" i="19"/>
  <c r="I25" i="19"/>
  <c r="K43" i="1"/>
  <c r="I44" i="1"/>
  <c r="G44" i="19" s="1"/>
  <c r="I44" i="19" s="1"/>
  <c r="K38" i="1"/>
  <c r="H33" i="19"/>
  <c r="H36" i="19"/>
  <c r="I36" i="19" s="1"/>
  <c r="I38" i="19"/>
  <c r="H34" i="19"/>
  <c r="I34" i="19" s="1"/>
  <c r="H35" i="19"/>
  <c r="I35" i="19" s="1"/>
  <c r="K37" i="1"/>
  <c r="K39" i="1"/>
  <c r="G20" i="19"/>
  <c r="I20" i="19" s="1"/>
  <c r="G12" i="19"/>
  <c r="G21" i="19"/>
  <c r="G22" i="19" s="1"/>
  <c r="I22" i="19" s="1"/>
  <c r="E22" i="16"/>
  <c r="D19" i="18"/>
  <c r="F19" i="18" s="1"/>
  <c r="D18" i="18"/>
  <c r="F18" i="18" s="1"/>
  <c r="D10" i="18"/>
  <c r="D23" i="18"/>
  <c r="I46" i="19" l="1"/>
  <c r="K41" i="1"/>
  <c r="G8" i="22"/>
  <c r="F8" i="22"/>
  <c r="H8" i="22" s="1"/>
  <c r="I21" i="19"/>
  <c r="G13" i="19"/>
  <c r="I13" i="19" s="1"/>
  <c r="I12" i="19"/>
  <c r="I11" i="1"/>
  <c r="K11" i="1" s="1"/>
  <c r="I10" i="1"/>
  <c r="K10" i="1" s="1"/>
  <c r="G11" i="19"/>
  <c r="I11" i="19" s="1"/>
  <c r="G10" i="19"/>
  <c r="I10" i="19" s="1"/>
  <c r="I15" i="19"/>
  <c r="K44" i="1"/>
  <c r="K46" i="1" s="1"/>
  <c r="I13" i="21"/>
  <c r="E21" i="16"/>
  <c r="E17" i="16"/>
  <c r="G16" i="19" l="1"/>
  <c r="I16" i="19" s="1"/>
  <c r="D16" i="18"/>
  <c r="E17" i="17"/>
  <c r="E16" i="16" l="1"/>
  <c r="C13" i="19"/>
  <c r="C14" i="19"/>
  <c r="C15" i="19"/>
  <c r="C16" i="19"/>
  <c r="C17" i="19"/>
  <c r="C20" i="19"/>
  <c r="C21" i="19"/>
  <c r="C22" i="19"/>
  <c r="C23" i="19"/>
  <c r="C24" i="19"/>
  <c r="C25" i="19"/>
  <c r="C26" i="19"/>
  <c r="C27" i="19"/>
  <c r="C28" i="19"/>
  <c r="C29" i="19"/>
  <c r="C30" i="19"/>
  <c r="C9" i="19"/>
  <c r="D13" i="19"/>
  <c r="D14" i="19"/>
  <c r="D15" i="19"/>
  <c r="D16" i="19"/>
  <c r="D17" i="19"/>
  <c r="D20" i="19"/>
  <c r="D21" i="19"/>
  <c r="D22" i="19"/>
  <c r="D23" i="19"/>
  <c r="D24" i="19"/>
  <c r="D25" i="19"/>
  <c r="D26" i="19"/>
  <c r="D27" i="19"/>
  <c r="D28" i="19"/>
  <c r="D29" i="19"/>
  <c r="D30" i="19"/>
  <c r="D9" i="19"/>
  <c r="I33" i="19" l="1"/>
  <c r="I41" i="19" s="1"/>
  <c r="G30" i="19"/>
  <c r="I30" i="19" s="1"/>
  <c r="G29" i="19"/>
  <c r="I29" i="19" s="1"/>
  <c r="G24" i="19"/>
  <c r="I24" i="19" s="1"/>
  <c r="G17" i="19"/>
  <c r="I17" i="19" s="1"/>
  <c r="D5" i="22" l="1"/>
  <c r="G5" i="22"/>
  <c r="C5" i="22"/>
  <c r="E5" i="22"/>
  <c r="I10" i="21"/>
  <c r="F5" i="22"/>
  <c r="G23" i="19"/>
  <c r="I23" i="19" s="1"/>
  <c r="K9" i="1"/>
  <c r="H5" i="22" l="1"/>
  <c r="G9" i="19"/>
  <c r="I9" i="19" s="1"/>
  <c r="G28" i="19"/>
  <c r="I28" i="19" s="1"/>
  <c r="I31" i="19" s="1"/>
  <c r="G14" i="19"/>
  <c r="I14" i="19" s="1"/>
  <c r="I17" i="1"/>
  <c r="K15" i="1"/>
  <c r="I25" i="1"/>
  <c r="I24" i="1"/>
  <c r="I48" i="1" s="1"/>
  <c r="F24" i="18"/>
  <c r="F25" i="18"/>
  <c r="F26" i="18"/>
  <c r="F23" i="18"/>
  <c r="F11" i="18"/>
  <c r="F12" i="18"/>
  <c r="F13" i="18"/>
  <c r="F14" i="18"/>
  <c r="F15" i="18"/>
  <c r="F16" i="18"/>
  <c r="F17" i="18"/>
  <c r="F10" i="18"/>
  <c r="E20" i="17"/>
  <c r="E19" i="17"/>
  <c r="E18" i="17"/>
  <c r="E16" i="17"/>
  <c r="E15" i="17"/>
  <c r="E14" i="17"/>
  <c r="E13" i="17"/>
  <c r="E12" i="17"/>
  <c r="E11" i="17"/>
  <c r="E25" i="16"/>
  <c r="E26" i="16" s="1"/>
  <c r="E20" i="16"/>
  <c r="E23" i="16" s="1"/>
  <c r="E15" i="16"/>
  <c r="E14" i="16"/>
  <c r="E13" i="16"/>
  <c r="E12" i="16"/>
  <c r="E7" i="22" l="1"/>
  <c r="D7" i="22"/>
  <c r="G7" i="22"/>
  <c r="F7" i="22"/>
  <c r="I49" i="1"/>
  <c r="G49" i="19" s="1"/>
  <c r="G48" i="19"/>
  <c r="E21" i="17"/>
  <c r="E20" i="18"/>
  <c r="I18" i="19"/>
  <c r="E27" i="18"/>
  <c r="I12" i="21"/>
  <c r="E18" i="16"/>
  <c r="E27" i="16" s="1"/>
  <c r="E28" i="16" s="1"/>
  <c r="K16" i="1"/>
  <c r="E22" i="17" l="1"/>
  <c r="E23" i="17" s="1"/>
  <c r="J54" i="1" s="1"/>
  <c r="H7" i="22"/>
  <c r="I9" i="21"/>
  <c r="D4" i="22"/>
  <c r="C4" i="22"/>
  <c r="B4" i="22"/>
  <c r="E4" i="22"/>
  <c r="F4" i="22"/>
  <c r="F29" i="18"/>
  <c r="F30" i="18" s="1"/>
  <c r="E29" i="16"/>
  <c r="I30" i="1"/>
  <c r="I29" i="1"/>
  <c r="I21" i="1"/>
  <c r="I22" i="1" s="1"/>
  <c r="I20" i="1"/>
  <c r="K20" i="1" s="1"/>
  <c r="K54" i="1" l="1"/>
  <c r="H54" i="19"/>
  <c r="I54" i="19" s="1"/>
  <c r="H4" i="22"/>
  <c r="J57" i="1"/>
  <c r="F31" i="18"/>
  <c r="J53" i="1" s="1"/>
  <c r="K53" i="1" s="1"/>
  <c r="K55" i="1" s="1"/>
  <c r="K57" i="1" l="1"/>
  <c r="K58" i="1" s="1"/>
  <c r="H57" i="19"/>
  <c r="I57" i="19" s="1"/>
  <c r="I58" i="19" s="1"/>
  <c r="H53" i="19"/>
  <c r="I53" i="19" s="1"/>
  <c r="I55" i="19" s="1"/>
  <c r="I8" i="21" l="1"/>
  <c r="D2" i="22"/>
  <c r="E2" i="22"/>
  <c r="C2" i="22"/>
  <c r="G2" i="22"/>
  <c r="B2" i="22"/>
  <c r="F2" i="22"/>
  <c r="I7" i="21"/>
  <c r="K17" i="1"/>
  <c r="H2" i="22" l="1"/>
  <c r="I27" i="14"/>
  <c r="I33" i="14" s="1"/>
  <c r="K13" i="1" l="1"/>
  <c r="K29" i="1"/>
  <c r="K30" i="1"/>
  <c r="E23" i="14" l="1"/>
  <c r="E41" i="14" s="1"/>
  <c r="E39" i="14" l="1"/>
  <c r="E40" i="14"/>
  <c r="I29" i="14" l="1"/>
  <c r="I35" i="14" s="1"/>
  <c r="F41" i="14" s="1"/>
  <c r="I34" i="14"/>
  <c r="F40" i="14" s="1"/>
  <c r="F39" i="14"/>
  <c r="I39" i="14" l="1"/>
  <c r="I41" i="14"/>
  <c r="I40" i="14"/>
  <c r="K24" i="1" l="1"/>
  <c r="J49" i="1"/>
  <c r="J48" i="1"/>
  <c r="J50" i="1"/>
  <c r="K50" i="1" s="1"/>
  <c r="H49" i="19" l="1"/>
  <c r="I49" i="19" s="1"/>
  <c r="K49" i="1"/>
  <c r="H48" i="19"/>
  <c r="I48" i="19" s="1"/>
  <c r="K48" i="1"/>
  <c r="K51" i="1" s="1"/>
  <c r="H50" i="19"/>
  <c r="I50" i="19" s="1"/>
  <c r="I51" i="19" l="1"/>
  <c r="K58" i="19" s="1"/>
  <c r="K21" i="1"/>
  <c r="I23" i="1"/>
  <c r="K25" i="1"/>
  <c r="I14" i="1"/>
  <c r="E61" i="19" l="1"/>
  <c r="I61" i="19" s="1"/>
  <c r="E6" i="22"/>
  <c r="D6" i="22"/>
  <c r="F6" i="22"/>
  <c r="G6" i="22"/>
  <c r="I11" i="21"/>
  <c r="K23" i="1"/>
  <c r="I27" i="1"/>
  <c r="K14" i="1"/>
  <c r="K18" i="1" s="1"/>
  <c r="K22" i="1"/>
  <c r="K26" i="1"/>
  <c r="I28" i="1"/>
  <c r="I14" i="21" l="1"/>
  <c r="J12" i="21" s="1"/>
  <c r="I60" i="19"/>
  <c r="H6" i="22"/>
  <c r="G10" i="22"/>
  <c r="G3" i="22" s="1"/>
  <c r="E10" i="22"/>
  <c r="E3" i="22" s="1"/>
  <c r="B10" i="22"/>
  <c r="B3" i="22" s="1"/>
  <c r="C10" i="22"/>
  <c r="C3" i="22" s="1"/>
  <c r="F10" i="22"/>
  <c r="F3" i="22" s="1"/>
  <c r="D10" i="22"/>
  <c r="D3" i="22" s="1"/>
  <c r="K27" i="1"/>
  <c r="K28" i="1"/>
  <c r="J9" i="21" l="1"/>
  <c r="J13" i="21"/>
  <c r="J10" i="21"/>
  <c r="J7" i="21"/>
  <c r="J8" i="21"/>
  <c r="J11" i="21"/>
  <c r="K31" i="1"/>
  <c r="F61" i="1" s="1"/>
  <c r="E12" i="22"/>
  <c r="F8" i="21" s="1"/>
  <c r="F14" i="21" s="1"/>
  <c r="E9" i="22"/>
  <c r="D12" i="22"/>
  <c r="E8" i="21" s="1"/>
  <c r="E14" i="21" s="1"/>
  <c r="D9" i="22"/>
  <c r="G9" i="22"/>
  <c r="G12" i="22"/>
  <c r="H8" i="21" s="1"/>
  <c r="H14" i="21" s="1"/>
  <c r="B9" i="22"/>
  <c r="B12" i="22"/>
  <c r="C8" i="21" s="1"/>
  <c r="H3" i="22"/>
  <c r="H9" i="22" s="1"/>
  <c r="F12" i="22"/>
  <c r="G8" i="21" s="1"/>
  <c r="G14" i="21" s="1"/>
  <c r="F9" i="22"/>
  <c r="C9" i="22"/>
  <c r="C12" i="22"/>
  <c r="D8" i="21" s="1"/>
  <c r="D14" i="21" s="1"/>
  <c r="J14" i="21" l="1"/>
  <c r="K61" i="1"/>
  <c r="K60" i="1"/>
  <c r="C14" i="21"/>
  <c r="C15" i="21" l="1"/>
  <c r="D15" i="21" s="1"/>
  <c r="E15" i="21" s="1"/>
  <c r="F15" i="21" s="1"/>
  <c r="G15" i="21" s="1"/>
  <c r="H15" i="21" s="1"/>
</calcChain>
</file>

<file path=xl/sharedStrings.xml><?xml version="1.0" encoding="utf-8"?>
<sst xmlns="http://schemas.openxmlformats.org/spreadsheetml/2006/main" count="752" uniqueCount="316">
  <si>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</si>
  <si>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</si>
  <si>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</si>
  <si>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</si>
  <si>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</si>
  <si>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</si>
  <si>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</si>
  <si>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</si>
  <si>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</si>
  <si>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</si>
  <si>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</si>
  <si>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</si>
  <si>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</si>
  <si>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PAVIMENTAÇÃO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</si>
  <si>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</si>
  <si>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</si>
  <si>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</si>
  <si>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</si>
  <si>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</si>
  <si>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</si>
  <si>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</si>
  <si>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</si>
  <si>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</si>
  <si>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</si>
  <si>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</si>
  <si>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</si>
  <si>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</si>
  <si>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</si>
  <si>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</si>
  <si>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</si>
  <si>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</si>
  <si>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</si>
  <si>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</si>
  <si>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</si>
  <si>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</si>
  <si>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</si>
  <si>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</si>
  <si>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COMPRIMENTO x (LARGURA + FOLGA P/ LIMPEZA)</t>
  </si>
  <si>
    <t>ÁREA DE LIMPEZA x ESPESSURA DE LIMPEZA</t>
  </si>
  <si>
    <t>ÁREA DE LIMPEZA x ESPESSURA DE LIMPEZA x DT LIMPEZA</t>
  </si>
  <si>
    <t>Espessura de Corte Subleito (m)</t>
  </si>
  <si>
    <t>Área de Esquina (m²)</t>
  </si>
  <si>
    <t>Empolamento de Base (%)</t>
  </si>
  <si>
    <t>Espessura da Base (m)</t>
  </si>
  <si>
    <t>DT Cascalho (Km)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</si>
  <si>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</si>
  <si>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</si>
  <si>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</si>
  <si>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</si>
  <si>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</si>
  <si>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</si>
  <si>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</si>
  <si>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</si>
  <si>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</si>
  <si>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</si>
  <si>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</si>
  <si>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Largura Calçada (m)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</si>
  <si>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</si>
  <si>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</si>
  <si>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</si>
  <si>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</si>
  <si>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</si>
  <si>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</si>
  <si>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</si>
  <si>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</si>
  <si>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</si>
  <si>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</si>
  <si>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</si>
  <si>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</si>
  <si>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</si>
  <si>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</si>
  <si>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</si>
  <si>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</si>
  <si>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</si>
  <si>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</si>
  <si>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</si>
  <si>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</si>
  <si>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</si>
  <si>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</si>
  <si>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</si>
  <si>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</si>
  <si>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MEIO FIO SEM SARJETA - MFU01</t>
  </si>
  <si>
    <t>ORÇAMENTO</t>
  </si>
  <si>
    <t>Engenheiro Luis Severo Braga Gomides</t>
  </si>
  <si>
    <t>Secretário Municipal de Transportes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</si>
  <si>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</si>
  <si>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</si>
  <si>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</si>
  <si>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</si>
  <si>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</si>
  <si>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1.1</t>
  </si>
  <si>
    <t>1.2</t>
  </si>
  <si>
    <t>1.3</t>
  </si>
  <si>
    <t>1.8</t>
  </si>
  <si>
    <t>DESCIDA D'ÁGUA DE ATERROS TIPO RÁPIDO - DAR 02 (AC/BC)</t>
  </si>
  <si>
    <t>CONFORME PROJETO</t>
  </si>
  <si>
    <t>REMOÇÃO DE CERCA</t>
  </si>
  <si>
    <t>CERCA DE VEDAÇÃO DE FAIXA DE DOMÍNIO EM MADEIRA</t>
  </si>
  <si>
    <t>Interferência com cerca (m)</t>
  </si>
  <si>
    <t>TIPO DE SERVIÇO: TERRAPLENAGEM, PAVIMENTAÇÃO ASFÁLTICA E DRENAGEM</t>
  </si>
  <si>
    <t>Largura de Sub Leito (m)</t>
  </si>
  <si>
    <t>Largura da Base</t>
  </si>
  <si>
    <t>Meio Fio Sem Sarjeta</t>
  </si>
  <si>
    <t>DESCRIÇÃO</t>
  </si>
  <si>
    <t>CUSTO UNITÁRIO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</si>
  <si>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</si>
  <si>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</si>
  <si>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</si>
  <si>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</si>
  <si>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</si>
  <si>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</si>
  <si>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</si>
  <si>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</si>
  <si>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>DIVISÃO ADMINISTRATIVA</t>
  </si>
  <si>
    <t>VIGIA</t>
  </si>
  <si>
    <t>VEÍCULOS DA ADMINISTRAÇÃO</t>
  </si>
  <si>
    <t>VEÍCULOS LEVES (INCLUSO COMBUSTÍVEL)</t>
  </si>
  <si>
    <t>PREÇO TOTAL: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</si>
  <si>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</si>
  <si>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</si>
  <si>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</si>
  <si>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</si>
  <si>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</si>
  <si>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</si>
  <si>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</si>
  <si>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</si>
  <si>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</si>
  <si>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</si>
  <si>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</si>
  <si>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</si>
  <si>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</si>
  <si>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</si>
  <si>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</si>
  <si>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</si>
  <si>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</si>
  <si>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ROLO COMPAC. PNEUS AUTOPROP. 27T</t>
  </si>
  <si>
    <t>ROLO LISO TANDEN  - 6/8 T - CA 150 OU EQUIVALENTE</t>
  </si>
  <si>
    <t>VIBROACABADORA DE ASFALTO SOBRE ESTEIRAS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</si>
  <si>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</si>
  <si>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</si>
  <si>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</si>
  <si>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</si>
  <si>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</si>
  <si>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</si>
  <si>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</si>
  <si>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4.0</t>
  </si>
  <si>
    <t>4.1</t>
  </si>
  <si>
    <t>4.2</t>
  </si>
  <si>
    <t>DT</t>
  </si>
  <si>
    <t>DISSIPADOR DE ENERGIA - DEB 02 (AC/BC)</t>
  </si>
  <si>
    <t>ENTRADA D'AGUA - EDA 01 (AC/BC)</t>
  </si>
  <si>
    <t>Valor do Km</t>
  </si>
  <si>
    <t>Valor m²</t>
  </si>
  <si>
    <t>BOCA DE BSTC D=1,00M (AC/BC)</t>
  </si>
  <si>
    <t>FORNECIMENTO, TRANSPORTE E ASSENTAMENTO DE TUBO D=1,00 M (AC)</t>
  </si>
  <si>
    <t>ESCAVAÇÃO MECÂNICA EM TERRA</t>
  </si>
  <si>
    <t>REATERRO DE VALAS C/ COMPACTAÇÃO VIBRATÓRIA</t>
  </si>
  <si>
    <t xml:space="preserve">LASTRO DE BRITA(GAP) (BC) </t>
  </si>
  <si>
    <t>Volume Aterro Sub Leito</t>
  </si>
  <si>
    <t>(COMPRIMENTO x (LARGURA + FOLGA P/ TERRAPLANAGEM)  x ESPESSURA DA BASE</t>
  </si>
  <si>
    <t>Km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</si>
  <si>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</si>
  <si>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</si>
  <si>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</si>
  <si>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COMPRIMENTO x (LARGURA DA BASE)</t>
  </si>
  <si>
    <t xml:space="preserve">COMPRIMENTO x (LARGURA - MEDIDA DA SARJETA) 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</si>
  <si>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</si>
  <si>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</si>
  <si>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COMPRIMENTO x (LARGURA - MEDIDA DA SARJETA) 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</si>
  <si>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</si>
  <si>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</si>
  <si>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3.0</t>
  </si>
  <si>
    <t>3.1</t>
  </si>
  <si>
    <t>3.2</t>
  </si>
  <si>
    <t>3.3</t>
  </si>
  <si>
    <t>2.4</t>
  </si>
  <si>
    <t>2.5</t>
  </si>
  <si>
    <t>2.6</t>
  </si>
  <si>
    <t>2.7</t>
  </si>
  <si>
    <t>2.8</t>
  </si>
  <si>
    <t>2.9</t>
  </si>
  <si>
    <t>1.4</t>
  </si>
  <si>
    <t>1.5</t>
  </si>
  <si>
    <t>1.7</t>
  </si>
  <si>
    <t>Largura Imprimação</t>
  </si>
  <si>
    <t xml:space="preserve">BANHEIROS QUÍMICOS (COM LAVATÓRIO) </t>
  </si>
  <si>
    <t>GOINFRA</t>
  </si>
  <si>
    <t>GOIFRA</t>
  </si>
  <si>
    <t xml:space="preserve">TRANSPORTE DE ENTULHO </t>
  </si>
  <si>
    <t>ESCAVAÇÃO E CARGA DE MATERIAL DE 1ºCATEGORIA - SEM TRANSPORTE</t>
  </si>
  <si>
    <t>TRANSPORTE DE MATERIAL DE JAZIDA</t>
  </si>
  <si>
    <t xml:space="preserve">REGULARIZAÇÃO E COMPACTAÇÃO DO SUB-LEITO </t>
  </si>
  <si>
    <t xml:space="preserve">ESCAVAÇÃO E CARGA DE MATERIAL DE JAZIDA COM INDENIZAÇÃO </t>
  </si>
  <si>
    <t xml:space="preserve">TRANSPORTE DE MATERIAL DE JAZIDA-CASCALHO </t>
  </si>
  <si>
    <t>IMPRIMAÇÃO</t>
  </si>
  <si>
    <t xml:space="preserve">PINTURA DE LIGAÇÃO </t>
  </si>
  <si>
    <t xml:space="preserve">CONCRETO BETUMINOSO USINADO À QUENTE-CBUQ (AC/BC) </t>
  </si>
  <si>
    <t>TRANSPORTE COMERCIAL DE MASSA ASFÁLTICA</t>
  </si>
  <si>
    <t xml:space="preserve">TRANSPORTE COMERCIAL DE AGREGADO </t>
  </si>
  <si>
    <t xml:space="preserve">ESTABILIZAÇÃO GRANULOMÉTRICA SEM MISTURA - REF.PROCTOR: 39 GOLPES (100% P.IM.) </t>
  </si>
  <si>
    <t>ESCAVADEIRA HIDRÁULICA - 320DL OU EQUIVALENTE</t>
  </si>
  <si>
    <t>CAMINHÃO TANQUE 10000 L</t>
  </si>
  <si>
    <t>Volume Corte</t>
  </si>
  <si>
    <t>AUXILIAR DE LABORATORISTA</t>
  </si>
  <si>
    <t>INSTRUMENTAL DE TOPOGRAFIA</t>
  </si>
  <si>
    <t>LOCAL: Rodovia Municipal CUSTODIA</t>
  </si>
  <si>
    <t>CUSTODIA</t>
  </si>
  <si>
    <t>DT Limpeza  (Km)</t>
  </si>
  <si>
    <t>Empolamento de Subleito e Limpeza (%)</t>
  </si>
  <si>
    <t>RETRO ESCAVADEIRA DE PNEUS - CATERPILLAR 416E OU
EQUIVALENTE</t>
  </si>
  <si>
    <t>TRATOR ESTEIRAS COM LAMINA - Komatsu: D41E-6 OU EQUIVALENTE</t>
  </si>
  <si>
    <t>TERRAPLENAGEM</t>
  </si>
  <si>
    <t>2.10</t>
  </si>
  <si>
    <t>2.11</t>
  </si>
  <si>
    <t>DRENAGEM</t>
  </si>
  <si>
    <t>3.4</t>
  </si>
  <si>
    <t>3.5</t>
  </si>
  <si>
    <t>3.7</t>
  </si>
  <si>
    <t>3.8</t>
  </si>
  <si>
    <t>LOCAL: Rodovia Municipal Custódia</t>
  </si>
  <si>
    <t>OBRAS COMPLEMENTARES</t>
  </si>
  <si>
    <t>DEFENSA METÁLICA SEMI-MALEÁVEL SIMPLES</t>
  </si>
  <si>
    <t>TRANSPORTE COMERCIAL DE MATERIAL BÁSICO</t>
  </si>
  <si>
    <t>tkm</t>
  </si>
  <si>
    <t>SERVÇOS PRELIMINARES</t>
  </si>
  <si>
    <t>SUBTOTAL:</t>
  </si>
  <si>
    <t>COMP 01</t>
  </si>
  <si>
    <t>COMP 02</t>
  </si>
  <si>
    <t>ADMINISTRAÇÃO</t>
  </si>
  <si>
    <t>COMP 03</t>
  </si>
  <si>
    <t>SUBTOTAL</t>
  </si>
  <si>
    <t xml:space="preserve">ADMINISTRAÇÃO LOCAL </t>
  </si>
  <si>
    <t xml:space="preserve">CANTEIRO DE OBRA </t>
  </si>
  <si>
    <t xml:space="preserve">MOBILIZAÇÃO/DESMOBILIZAÇÃO EQUIPAMENTOS </t>
  </si>
  <si>
    <t>PRODUTOS BETUMINOSOS</t>
  </si>
  <si>
    <t xml:space="preserve">DADOS </t>
  </si>
  <si>
    <t>PROJETO EXECUTIVO DE ENGENHARIA PARA REGIÃO ONDULADA</t>
  </si>
  <si>
    <t>LIMPEZA (PAV.URB.)</t>
  </si>
  <si>
    <t>Taxa de Aplicação EAI (L/m²)</t>
  </si>
  <si>
    <t>5.0</t>
  </si>
  <si>
    <t>5.1</t>
  </si>
  <si>
    <t>5.2</t>
  </si>
  <si>
    <t>5.3</t>
  </si>
  <si>
    <t>6.0</t>
  </si>
  <si>
    <t>6.1</t>
  </si>
  <si>
    <t>6.2</t>
  </si>
  <si>
    <t>7.0</t>
  </si>
  <si>
    <t>7.1</t>
  </si>
  <si>
    <t>SERVIÇOS PRELIMINARES</t>
  </si>
  <si>
    <t>MOBILIZAÇÃO/DESMOBILIZAÇÃO DE EQUIPAMENTOS</t>
  </si>
  <si>
    <t>CANTEIRO DE OBRAS</t>
  </si>
  <si>
    <t xml:space="preserve">CONFORME COMPOSIÇÃO ANEXO </t>
  </si>
  <si>
    <t>ESTRADA MUNICIPAL DA CUSTÓDIA</t>
  </si>
  <si>
    <t xml:space="preserve">ADMINISTRAÇÃO </t>
  </si>
  <si>
    <t>Valor/Unidade</t>
  </si>
  <si>
    <t>COMPOSIÇÃO BDI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</si>
  <si>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</si>
  <si>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</si>
  <si>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</si>
  <si>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</si>
  <si>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</si>
  <si>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</si>
  <si>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</si>
  <si>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</si>
  <si>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</si>
  <si>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</si>
  <si>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_________________________________________________________________________</t>
  </si>
  <si>
    <t>CRONOGRAMA FISICO-FINANCEIRO</t>
  </si>
  <si>
    <t>PRAZO EXECUÇÃO: 6 MESES</t>
  </si>
  <si>
    <t>GRUPO DE SERVIÇO</t>
  </si>
  <si>
    <t>MÊS 1</t>
  </si>
  <si>
    <t>MÊS 2</t>
  </si>
  <si>
    <t>MÊS 3</t>
  </si>
  <si>
    <t>MÊS 4</t>
  </si>
  <si>
    <t>MÊS 5</t>
  </si>
  <si>
    <t>MÊS 6</t>
  </si>
  <si>
    <t>% DO SERVIÇO</t>
  </si>
  <si>
    <t>VALOR DO SERVIÇO EXECUTADO</t>
  </si>
  <si>
    <t>AVANÇO FINANCEIRO</t>
  </si>
  <si>
    <t>__________________________________________________________________________</t>
  </si>
  <si>
    <t xml:space="preserve">VALOR </t>
  </si>
  <si>
    <t>1.6</t>
  </si>
  <si>
    <t>1.9</t>
  </si>
  <si>
    <t>TÉCNICO DE SEGURANÇA DO TRABALHO</t>
  </si>
  <si>
    <t>ALMOXARIFE / APONTADOR / COMPRADOR</t>
  </si>
  <si>
    <t>CUSTO /KM</t>
  </si>
  <si>
    <r>
      <t>DT material 1</t>
    </r>
    <r>
      <rPr>
        <sz val="9"/>
        <color theme="1"/>
        <rFont val="Calibri"/>
        <family val="2"/>
      </rPr>
      <t>ª</t>
    </r>
    <r>
      <rPr>
        <sz val="9"/>
        <color theme="1"/>
        <rFont val="Calibri"/>
        <family val="2"/>
        <scheme val="minor"/>
      </rPr>
      <t xml:space="preserve"> categoria  (Km)</t>
    </r>
  </si>
  <si>
    <t>_____________________________________________________</t>
  </si>
  <si>
    <t>________________________________________________________________</t>
  </si>
  <si>
    <t>3.6</t>
  </si>
  <si>
    <t>CÓDIGO AUXILIAR</t>
  </si>
  <si>
    <t>CAMINHÃO TANQUE DISTRIBUIDOR DE ASFALTO</t>
  </si>
  <si>
    <t>FAIXA A1 (IMPLANTAÇÃO)</t>
  </si>
  <si>
    <t>GRUPO DE SERVIÇOS</t>
  </si>
  <si>
    <t>MEDIÇÃO 1</t>
  </si>
  <si>
    <t>TOTAL</t>
  </si>
  <si>
    <t>MEDIÇÃO 2</t>
  </si>
  <si>
    <t>MEDIÇÃO 3</t>
  </si>
  <si>
    <t>MEDIÇÃO 4</t>
  </si>
  <si>
    <t>MEDIÇÃO 5</t>
  </si>
  <si>
    <t>MEDIÇÃO 6</t>
  </si>
  <si>
    <t>% ADMINISTRAÇÃO/MÊS</t>
  </si>
  <si>
    <t>% ADMINISTRAÇÃO/SOMATÓRIO SERVIÇOS</t>
  </si>
  <si>
    <t>REFERÊNCIA: TABELA DE TERRAPLENAGEM, PAVIMENTAÇÃO E OBRAS DE ARTE ESPECIAIS - OUT / 2023 - COM DESONERAÇÃO - T229 - BDI: 26,37%</t>
  </si>
  <si>
    <t>4.3</t>
  </si>
  <si>
    <t xml:space="preserve"> TABELA ANP PRODUTO/REGIÃO NOV / 2023</t>
  </si>
  <si>
    <t>REVESTIMENTO VEGETAL POR HIDROSSEMEADURA</t>
  </si>
  <si>
    <t xml:space="preserve">REFERÊNCIA: ADMINISTRAÇÃO - CANTEIRO - MOBILIZAÇÃO  - T229 - OUTUBRO/2023 </t>
  </si>
  <si>
    <t>TABELA DE PROJETOS E CONSULTORIA - T228 - OUTUBRO DE 2023 -  BDI: 28,28 %</t>
  </si>
  <si>
    <t>TABELA DE PROJETOS E CONSULTORIA - T228 - OUTUBRO DE 2023 -  BDI: 28,28%</t>
  </si>
  <si>
    <t>Volume Aterro</t>
  </si>
  <si>
    <t>Larg x Comp x Profund. (2 x 100 x 2)</t>
  </si>
  <si>
    <t>Larg x Comp x Esp. Lastro (2 x 100 x 0,1)</t>
  </si>
  <si>
    <t>Larg x Comp x Profund. (2 x 100 x 1)</t>
  </si>
  <si>
    <t>REFERÊNCIA: JANEIRO/2024</t>
  </si>
  <si>
    <t>BDI (26,37%):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</si>
</sst>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  <numFmt numFmtId="170" formatCode="&quot;R$&quot;#,##0.00"/>
    <numFmt numFmtId="171" formatCode="#,##0.00_ ;\-#,##0.00\ "/>
    <numFmt numFmtId="172" formatCode="0.0000%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 Narrow"/>
      <family val="2"/>
    </font>
    <font>
      <b/>
      <sz val="9"/>
      <color theme="1"/>
      <name val="Calibri "/>
    </font>
    <font>
      <sz val="11"/>
      <color theme="1"/>
      <name val="Calibri "/>
    </font>
    <font>
      <sz val="9"/>
      <color theme="1"/>
      <name val="Calibri 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10"/>
      <color theme="1"/>
      <name val="Calibri "/>
    </font>
    <font>
      <b/>
      <sz val="12"/>
      <color rgb="FF000000"/>
      <name val="Calibri"/>
      <family val="2"/>
      <scheme val="minor"/>
    </font>
    <font>
      <b/>
      <sz val="10"/>
      <color theme="1"/>
      <name val="Calibri 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4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0" xfId="0" applyFont="1" applyFill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167" fontId="3" fillId="0" borderId="14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9" fillId="0" borderId="0" xfId="0" applyFont="1"/>
    <xf numFmtId="167" fontId="3" fillId="4" borderId="0" xfId="0" applyNumberFormat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6" fillId="0" borderId="0" xfId="0" applyFont="1" applyAlignment="1">
      <alignment horizontal="right"/>
    </xf>
    <xf numFmtId="170" fontId="2" fillId="0" borderId="0" xfId="0" applyNumberFormat="1" applyFont="1"/>
    <xf numFmtId="167" fontId="2" fillId="0" borderId="0" xfId="0" applyNumberFormat="1" applyFont="1"/>
    <xf numFmtId="0" fontId="2" fillId="4" borderId="1" xfId="0" applyFont="1" applyFill="1" applyBorder="1" applyAlignment="1">
      <alignment vertical="center" wrapText="1"/>
    </xf>
    <xf numFmtId="7" fontId="2" fillId="4" borderId="1" xfId="0" applyNumberFormat="1" applyFont="1" applyFill="1" applyBorder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7" fontId="13" fillId="0" borderId="1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14" fillId="0" borderId="14" xfId="0" applyFont="1" applyBorder="1" applyAlignment="1">
      <alignment horizontal="left" vertical="center"/>
    </xf>
    <xf numFmtId="1" fontId="14" fillId="0" borderId="1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44" fontId="13" fillId="0" borderId="15" xfId="0" applyNumberFormat="1" applyFont="1" applyBorder="1" applyAlignment="1">
      <alignment horizontal="center"/>
    </xf>
    <xf numFmtId="167" fontId="13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169" fontId="14" fillId="0" borderId="3" xfId="0" applyNumberFormat="1" applyFont="1" applyBorder="1" applyAlignment="1">
      <alignment horizontal="center"/>
    </xf>
    <xf numFmtId="169" fontId="14" fillId="0" borderId="8" xfId="0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2" xfId="0" applyFont="1" applyBorder="1"/>
    <xf numFmtId="0" fontId="0" fillId="0" borderId="23" xfId="0" applyBorder="1"/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 applyAlignment="1">
      <alignment horizont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2" xfId="0" applyFont="1" applyBorder="1"/>
    <xf numFmtId="167" fontId="10" fillId="0" borderId="32" xfId="0" applyNumberFormat="1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8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8" xfId="3" applyNumberFormat="1" applyFont="1" applyBorder="1" applyAlignment="1" applyProtection="1">
      <alignment horizontal="center" vertical="center"/>
      <protection locked="0"/>
    </xf>
    <xf numFmtId="4" fontId="18" fillId="0" borderId="29" xfId="3" applyNumberFormat="1" applyFont="1" applyBorder="1" applyAlignment="1" applyProtection="1">
      <alignment horizontal="center" vertical="center"/>
      <protection locked="0"/>
    </xf>
    <xf numFmtId="171" fontId="18" fillId="0" borderId="30" xfId="3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34" xfId="0" applyFont="1" applyBorder="1" applyAlignment="1">
      <alignment horizontal="center"/>
    </xf>
    <xf numFmtId="0" fontId="15" fillId="0" borderId="4" xfId="0" applyFont="1" applyBorder="1"/>
    <xf numFmtId="167" fontId="15" fillId="0" borderId="4" xfId="0" applyNumberFormat="1" applyFont="1" applyBorder="1"/>
    <xf numFmtId="10" fontId="15" fillId="0" borderId="35" xfId="2" applyNumberFormat="1" applyFont="1" applyBorder="1"/>
    <xf numFmtId="167" fontId="15" fillId="0" borderId="0" xfId="0" applyNumberFormat="1" applyFont="1"/>
    <xf numFmtId="0" fontId="15" fillId="0" borderId="31" xfId="0" applyFont="1" applyBorder="1" applyAlignment="1">
      <alignment horizontal="center"/>
    </xf>
    <xf numFmtId="0" fontId="15" fillId="0" borderId="32" xfId="0" applyFont="1" applyBorder="1"/>
    <xf numFmtId="167" fontId="15" fillId="0" borderId="32" xfId="0" applyNumberFormat="1" applyFont="1" applyBorder="1"/>
    <xf numFmtId="10" fontId="15" fillId="0" borderId="33" xfId="2" applyNumberFormat="1" applyFont="1" applyBorder="1"/>
    <xf numFmtId="10" fontId="15" fillId="0" borderId="0" xfId="2" applyNumberFormat="1" applyFont="1" applyBorder="1"/>
    <xf numFmtId="10" fontId="15" fillId="0" borderId="0" xfId="2" applyNumberFormat="1" applyFont="1"/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9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vertical="center" wrapText="1"/>
    </xf>
    <xf numFmtId="17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0" fontId="3" fillId="0" borderId="27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2" fillId="0" borderId="27" xfId="2" applyNumberFormat="1" applyFont="1" applyBorder="1" applyAlignment="1">
      <alignment horizontal="center" vertical="center"/>
    </xf>
    <xf numFmtId="170" fontId="23" fillId="0" borderId="1" xfId="0" applyNumberFormat="1" applyFont="1" applyBorder="1" applyAlignment="1">
      <alignment horizontal="center" vertical="center"/>
    </xf>
    <xf numFmtId="10" fontId="23" fillId="0" borderId="1" xfId="2" applyNumberFormat="1" applyFont="1" applyBorder="1" applyAlignment="1" applyProtection="1">
      <alignment horizontal="center" vertical="center"/>
      <protection locked="0"/>
    </xf>
    <xf numFmtId="10" fontId="23" fillId="0" borderId="1" xfId="2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6" xfId="0" applyBorder="1"/>
    <xf numFmtId="169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8" fontId="2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70" fontId="15" fillId="0" borderId="0" xfId="0" applyNumberFormat="1" applyFont="1"/>
    <xf numFmtId="10" fontId="10" fillId="0" borderId="0" xfId="2" applyNumberFormat="1" applyFont="1" applyAlignment="1">
      <alignment horizontal="center"/>
    </xf>
    <xf numFmtId="0" fontId="27" fillId="6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/>
    </xf>
    <xf numFmtId="167" fontId="28" fillId="0" borderId="1" xfId="0" applyNumberFormat="1" applyFont="1" applyBorder="1" applyAlignment="1">
      <alignment horizontal="center" vertical="center" wrapText="1"/>
    </xf>
    <xf numFmtId="167" fontId="28" fillId="7" borderId="1" xfId="0" applyNumberFormat="1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left" vertical="center"/>
    </xf>
    <xf numFmtId="167" fontId="29" fillId="7" borderId="1" xfId="2" applyNumberFormat="1" applyFont="1" applyFill="1" applyBorder="1" applyAlignment="1">
      <alignment horizontal="center" vertical="center"/>
    </xf>
    <xf numFmtId="10" fontId="29" fillId="7" borderId="1" xfId="2" applyNumberFormat="1" applyFont="1" applyFill="1" applyBorder="1" applyAlignment="1">
      <alignment horizontal="center" vertical="center"/>
    </xf>
    <xf numFmtId="10" fontId="0" fillId="0" borderId="0" xfId="0" applyNumberFormat="1"/>
    <xf numFmtId="167" fontId="0" fillId="0" borderId="1" xfId="0" applyNumberFormat="1" applyBorder="1" applyAlignment="1">
      <alignment horizontal="center"/>
    </xf>
    <xf numFmtId="0" fontId="0" fillId="0" borderId="1" xfId="0" applyBorder="1"/>
    <xf numFmtId="167" fontId="0" fillId="0" borderId="0" xfId="2" applyNumberFormat="1" applyFont="1" applyAlignment="1">
      <alignment horizontal="center"/>
    </xf>
    <xf numFmtId="172" fontId="23" fillId="0" borderId="1" xfId="2" applyNumberFormat="1" applyFont="1" applyBorder="1" applyAlignment="1">
      <alignment horizontal="center" vertical="center"/>
    </xf>
    <xf numFmtId="172" fontId="0" fillId="0" borderId="0" xfId="2" applyNumberFormat="1" applyFont="1"/>
    <xf numFmtId="10" fontId="0" fillId="7" borderId="1" xfId="2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167" fontId="13" fillId="0" borderId="12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167" fontId="2" fillId="0" borderId="12" xfId="0" applyNumberFormat="1" applyFont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167" fontId="14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5" fillId="4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4" borderId="0" xfId="0" applyFont="1" applyFill="1" applyAlignment="1">
      <alignment horizontal="right" vertical="center" wrapText="1"/>
    </xf>
    <xf numFmtId="167" fontId="3" fillId="4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left" vertical="center"/>
    </xf>
    <xf numFmtId="0" fontId="10" fillId="4" borderId="7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3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7" fontId="13" fillId="0" borderId="11" xfId="0" applyNumberFormat="1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7" fontId="13" fillId="0" borderId="18" xfId="0" applyNumberFormat="1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3" fillId="0" borderId="26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center" vertical="center"/>
    </xf>
    <xf numFmtId="10" fontId="23" fillId="0" borderId="27" xfId="2" applyNumberFormat="1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</cellXfs>
  <cellStyles count="4">
    <cellStyle name="Normal" xfId="0" builtinId="0"/>
    <cellStyle name="Normal 3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698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125434</xdr:colOff>
      <xdr:row>3</xdr:row>
      <xdr:rowOff>112655</xdr:rowOff>
    </xdr:from>
    <xdr:ext cx="2034521" cy="585854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5434" y="662988"/>
          <a:ext cx="2034521" cy="58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508000</xdr:colOff>
          <xdr:row>3</xdr:row>
          <xdr:rowOff>127000</xdr:rowOff>
        </xdr:from>
        <xdr:to>
          <xdr:col>9</xdr:col>
          <xdr:colOff>177800</xdr:colOff>
          <xdr:row>8</xdr:row>
          <xdr:rowOff>101600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29158</xdr:colOff>
      <xdr:row>0</xdr:row>
      <xdr:rowOff>77755</xdr:rowOff>
    </xdr:from>
    <xdr:ext cx="2619435" cy="719235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29158" y="77755"/>
          <a:ext cx="2619435" cy="71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142560</xdr:colOff>
      <xdr:row>0</xdr:row>
      <xdr:rowOff>106912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2560" y="106912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76200</xdr:rowOff>
    </xdr:from>
    <xdr:ext cx="2193948" cy="631762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762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128416</xdr:colOff>
      <xdr:row>1</xdr:row>
      <xdr:rowOff>9170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8416" y="192614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50800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57150" y="508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184150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6050" y="184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24"/>
  <sheetViews>
    <sheetView showGridLines="0" topLeftCell="A3" zoomScale="90" zoomScaleNormal="90" workbookViewId="0">
      <selection activeCell="B18" sqref="B18:C18"/>
    </sheetView>
  </sheetViews>
  <sheetFormatPr baseColWidth="10" defaultColWidth="8.83203125" defaultRowHeight="15"/>
  <cols>
    <col min="1" max="1" width="17" customWidth="1"/>
    <col min="2" max="2" width="18.5" customWidth="1"/>
    <col min="3" max="3" width="20.6640625" customWidth="1"/>
    <col min="4" max="4" width="22.5" customWidth="1"/>
    <col min="5" max="5" width="24.1640625" customWidth="1"/>
    <col min="6" max="6" width="22.1640625" customWidth="1"/>
  </cols>
  <sheetData>
    <row r="5" spans="1:11" ht="17.25" customHeight="1">
      <c r="A5" s="227" t="s">
        <v>235</v>
      </c>
      <c r="B5" s="228"/>
      <c r="C5" s="228"/>
      <c r="D5" s="228"/>
      <c r="E5" s="228"/>
      <c r="F5" s="229"/>
    </row>
    <row r="6" spans="1:11" ht="17">
      <c r="A6" s="170" t="s">
        <v>47</v>
      </c>
      <c r="B6" s="230" t="s">
        <v>57</v>
      </c>
      <c r="C6" s="231"/>
      <c r="D6" s="231"/>
      <c r="E6" s="231"/>
      <c r="F6" s="232"/>
    </row>
    <row r="7" spans="1:11" ht="36" customHeight="1">
      <c r="A7" s="158" t="s">
        <v>32</v>
      </c>
      <c r="B7" s="158" t="s">
        <v>33</v>
      </c>
      <c r="C7" s="158" t="s">
        <v>34</v>
      </c>
      <c r="D7" s="158" t="s">
        <v>35</v>
      </c>
      <c r="E7" s="23" t="s">
        <v>184</v>
      </c>
      <c r="F7" s="159" t="s">
        <v>100</v>
      </c>
    </row>
    <row r="8" spans="1:11">
      <c r="A8" s="210">
        <v>11452.95</v>
      </c>
      <c r="B8" s="160">
        <v>9</v>
      </c>
      <c r="C8" s="160">
        <v>24</v>
      </c>
      <c r="D8" s="160">
        <v>1</v>
      </c>
      <c r="E8" s="35">
        <f>9.2</f>
        <v>9.1999999999999993</v>
      </c>
      <c r="F8" s="152">
        <v>11.2</v>
      </c>
    </row>
    <row r="9" spans="1:11" ht="26">
      <c r="A9" s="160" t="s">
        <v>36</v>
      </c>
      <c r="B9" s="161" t="s">
        <v>207</v>
      </c>
      <c r="C9" s="161" t="s">
        <v>41</v>
      </c>
      <c r="D9" s="160" t="s">
        <v>40</v>
      </c>
      <c r="E9" s="160" t="s">
        <v>208</v>
      </c>
      <c r="F9" s="152" t="s">
        <v>42</v>
      </c>
      <c r="J9" s="37"/>
      <c r="K9" s="37"/>
    </row>
    <row r="10" spans="1:11">
      <c r="A10" s="160">
        <v>0.1</v>
      </c>
      <c r="B10" s="161">
        <v>5.75</v>
      </c>
      <c r="C10" s="162">
        <v>0</v>
      </c>
      <c r="D10" s="152">
        <v>0.2</v>
      </c>
      <c r="E10" s="152">
        <v>1.2</v>
      </c>
      <c r="F10" s="152">
        <v>1.25</v>
      </c>
      <c r="J10" s="33"/>
    </row>
    <row r="11" spans="1:11" ht="30" customHeight="1">
      <c r="A11" s="160" t="s">
        <v>43</v>
      </c>
      <c r="B11" s="161" t="s">
        <v>286</v>
      </c>
      <c r="C11" s="161" t="s">
        <v>44</v>
      </c>
      <c r="D11" s="160" t="s">
        <v>45</v>
      </c>
      <c r="E11" s="152" t="s">
        <v>46</v>
      </c>
      <c r="F11" s="152" t="s">
        <v>102</v>
      </c>
      <c r="J11" s="37"/>
    </row>
    <row r="12" spans="1:11">
      <c r="A12" s="160">
        <v>0.4</v>
      </c>
      <c r="B12" s="161">
        <f>5.75</f>
        <v>5.75</v>
      </c>
      <c r="C12" s="161">
        <v>12</v>
      </c>
      <c r="D12" s="160">
        <v>0.03</v>
      </c>
      <c r="E12" s="160">
        <v>0.3</v>
      </c>
      <c r="F12" s="152">
        <f>A8</f>
        <v>11452.95</v>
      </c>
    </row>
    <row r="13" spans="1:11" ht="26">
      <c r="A13" s="151" t="s">
        <v>51</v>
      </c>
      <c r="B13" s="17" t="s">
        <v>48</v>
      </c>
      <c r="C13" s="43" t="s">
        <v>49</v>
      </c>
      <c r="D13" s="151" t="s">
        <v>50</v>
      </c>
      <c r="E13" s="151" t="s">
        <v>52</v>
      </c>
      <c r="F13" s="159" t="s">
        <v>101</v>
      </c>
    </row>
    <row r="14" spans="1:11">
      <c r="A14" s="152">
        <v>2.44</v>
      </c>
      <c r="B14" s="162">
        <v>35</v>
      </c>
      <c r="C14" s="163">
        <v>28.4</v>
      </c>
      <c r="D14" s="164">
        <v>0.94799999999999995</v>
      </c>
      <c r="E14" s="152">
        <v>1.4</v>
      </c>
      <c r="F14" s="165">
        <v>10</v>
      </c>
    </row>
    <row r="15" spans="1:11" ht="26">
      <c r="A15" s="158" t="s">
        <v>56</v>
      </c>
      <c r="B15" s="17" t="s">
        <v>238</v>
      </c>
      <c r="C15" s="146" t="s">
        <v>53</v>
      </c>
      <c r="D15" s="151" t="s">
        <v>54</v>
      </c>
      <c r="E15" s="166" t="s">
        <v>17</v>
      </c>
      <c r="F15" s="151" t="s">
        <v>98</v>
      </c>
      <c r="J15" s="190">
        <f>B16/1000</f>
        <v>1E-3</v>
      </c>
    </row>
    <row r="16" spans="1:11">
      <c r="A16" s="160">
        <v>0</v>
      </c>
      <c r="B16" s="152">
        <v>1</v>
      </c>
      <c r="C16" s="165">
        <v>0.5</v>
      </c>
      <c r="D16" s="164">
        <v>5.1999999999999998E-2</v>
      </c>
      <c r="E16" s="167">
        <f>F12</f>
        <v>11452.95</v>
      </c>
      <c r="F16" s="207">
        <v>22905.9</v>
      </c>
    </row>
    <row r="17" spans="1:6" ht="36.75" customHeight="1">
      <c r="A17" s="158" t="s">
        <v>310</v>
      </c>
      <c r="B17" s="151" t="s">
        <v>158</v>
      </c>
      <c r="C17" s="151" t="s">
        <v>202</v>
      </c>
      <c r="D17" s="168"/>
      <c r="E17" s="168"/>
      <c r="F17" s="1"/>
    </row>
    <row r="18" spans="1:6">
      <c r="A18" s="209">
        <v>176055.57</v>
      </c>
      <c r="B18" s="167">
        <v>25654.61</v>
      </c>
      <c r="C18" s="167">
        <v>131839.22</v>
      </c>
      <c r="D18" s="150"/>
      <c r="E18" s="169"/>
      <c r="F18" s="1"/>
    </row>
    <row r="19" spans="1:6">
      <c r="C19" s="26"/>
      <c r="D19" s="26"/>
    </row>
    <row r="20" spans="1:6" ht="16">
      <c r="A20" s="224"/>
      <c r="B20" s="224"/>
      <c r="C20" s="224"/>
      <c r="D20" s="224"/>
      <c r="E20" s="224"/>
      <c r="F20" s="224"/>
    </row>
    <row r="22" spans="1:6" ht="16">
      <c r="A22" s="225" t="s">
        <v>85</v>
      </c>
      <c r="B22" s="225"/>
      <c r="C22" s="225"/>
      <c r="D22" s="225"/>
      <c r="E22" s="225"/>
      <c r="F22" s="225"/>
    </row>
    <row r="23" spans="1:6">
      <c r="A23" s="226" t="s">
        <v>83</v>
      </c>
      <c r="B23" s="226"/>
      <c r="C23" s="226"/>
      <c r="D23" s="226"/>
      <c r="E23" s="226"/>
      <c r="F23" s="226"/>
    </row>
    <row r="24" spans="1:6">
      <c r="A24" s="226" t="s">
        <v>84</v>
      </c>
      <c r="B24" s="226"/>
      <c r="C24" s="226"/>
      <c r="D24" s="226"/>
      <c r="E24" s="226"/>
      <c r="F24" s="226"/>
    </row>
  </sheetData>
  <mergeCells count="6">
    <mergeCell ref="A20:F20"/>
    <mergeCell ref="A22:F22"/>
    <mergeCell ref="A23:F23"/>
    <mergeCell ref="A24:F24"/>
    <mergeCell ref="A5:F5"/>
    <mergeCell ref="B6:F6"/>
  </mergeCells>
  <dataValidations count="1">
    <dataValidation type="list" allowBlank="1" showInputMessage="1" showErrorMessage="1" promptTitle="SELECIONE O TIPO DE PERFIL " prompt="SELECIONE O TIPO DE PERFIL " sqref="B6" xr:uid="{00000000-0002-0000-0000-000000000000}">
      <formula1>"Abaulado,Não-Abaulado"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F12B-915C-46C5-B4F2-0F9B5E1C99A8}">
  <sheetPr>
    <pageSetUpPr fitToPage="1"/>
  </sheetPr>
  <dimension ref="A1:H19"/>
  <sheetViews>
    <sheetView showGridLines="0" zoomScale="90" zoomScaleNormal="90" workbookViewId="0">
      <selection activeCell="H12" sqref="A1:H12"/>
    </sheetView>
  </sheetViews>
  <sheetFormatPr baseColWidth="10" defaultColWidth="8.83203125" defaultRowHeight="15"/>
  <cols>
    <col min="1" max="1" width="40.5" customWidth="1"/>
    <col min="2" max="9" width="18.5" customWidth="1"/>
  </cols>
  <sheetData>
    <row r="1" spans="1:8">
      <c r="A1" s="193" t="s">
        <v>293</v>
      </c>
      <c r="B1" s="193" t="s">
        <v>294</v>
      </c>
      <c r="C1" s="193" t="s">
        <v>296</v>
      </c>
      <c r="D1" s="193" t="s">
        <v>297</v>
      </c>
      <c r="E1" s="193" t="s">
        <v>298</v>
      </c>
      <c r="F1" s="193" t="s">
        <v>299</v>
      </c>
      <c r="G1" s="193" t="s">
        <v>300</v>
      </c>
    </row>
    <row r="2" spans="1:8">
      <c r="A2" s="194" t="str">
        <f>CRONOGRAMA!B7</f>
        <v>SERVÇOS PRELIMINARES</v>
      </c>
      <c r="B2" s="195">
        <f>CRONOGRAMA!C7*ORÇAMENTO!I55</f>
        <v>75170.038846349998</v>
      </c>
      <c r="C2" s="201">
        <f>CRONOGRAMA!D7*ORÇAMENTO!I55</f>
        <v>16107.865467075</v>
      </c>
      <c r="D2" s="201">
        <f>CRONOGRAMA!E7*ORÇAMENTO!I55</f>
        <v>16107.865467075</v>
      </c>
      <c r="E2" s="201">
        <f>CRONOGRAMA!F7*ORÇAMENTO!I55</f>
        <v>16107.865467075</v>
      </c>
      <c r="F2" s="201">
        <f>CRONOGRAMA!G7*ORÇAMENTO!I55</f>
        <v>16107.865467075</v>
      </c>
      <c r="G2" s="201">
        <f>CRONOGRAMA!H7*ORÇAMENTO!I55</f>
        <v>75170.038846349998</v>
      </c>
      <c r="H2" s="47">
        <f t="shared" ref="H2:H8" si="0">SUM(B2:G2)</f>
        <v>214771.53956100001</v>
      </c>
    </row>
    <row r="3" spans="1:8">
      <c r="A3" s="194" t="str">
        <f>CRONOGRAMA!B8</f>
        <v>ADMINISTRAÇÃO</v>
      </c>
      <c r="B3" s="195">
        <f>(B2+B4)*B10</f>
        <v>43418.352830126933</v>
      </c>
      <c r="C3" s="201">
        <f>(C2+C4+C5)*C10</f>
        <v>42643.382812827127</v>
      </c>
      <c r="D3" s="201">
        <f>(D2+D4+D5+D6+D7)*D10</f>
        <v>118837.78904383487</v>
      </c>
      <c r="E3" s="201">
        <f>(E2+E4+E5+E6+E7)*E10</f>
        <v>118837.78904383487</v>
      </c>
      <c r="F3" s="201">
        <f>(F2+F4+F5+F6+F7+F8)*F10</f>
        <v>129455.46939854078</v>
      </c>
      <c r="G3" s="201">
        <f>(G2+G5+G6+G7+G8)*G10</f>
        <v>90445.725152835381</v>
      </c>
      <c r="H3" s="47">
        <f t="shared" si="0"/>
        <v>543638.50828199997</v>
      </c>
    </row>
    <row r="4" spans="1:8">
      <c r="A4" s="194" t="str">
        <f>CRONOGRAMA!B9</f>
        <v>TERRAPLENAGEM</v>
      </c>
      <c r="B4" s="195">
        <f>CRONOGRAMA!C9*ORÇAMENTO!I18</f>
        <v>1246821.1155000001</v>
      </c>
      <c r="C4" s="201">
        <f>CRONOGRAMA!D9*ORÇAMENTO!I18</f>
        <v>1246821.1155000001</v>
      </c>
      <c r="D4" s="201">
        <f>CRONOGRAMA!E9*ORÇAMENTO!I18</f>
        <v>1246821.1155000001</v>
      </c>
      <c r="E4" s="201">
        <f>CRONOGRAMA!F9*ORÇAMENTO!I18</f>
        <v>1246821.1155000001</v>
      </c>
      <c r="F4" s="201">
        <f>CRONOGRAMA!G9*ORÇAMENTO!I18</f>
        <v>1246821.1155000001</v>
      </c>
      <c r="G4" s="202"/>
      <c r="H4" s="47">
        <f t="shared" si="0"/>
        <v>6234105.5775000006</v>
      </c>
    </row>
    <row r="5" spans="1:8">
      <c r="A5" s="194" t="str">
        <f>CRONOGRAMA!B10</f>
        <v>DRENAGEM</v>
      </c>
      <c r="B5" s="195"/>
      <c r="C5" s="201">
        <f>CRONOGRAMA!D10*ORÇAMENTO!I41</f>
        <v>35466.080000000009</v>
      </c>
      <c r="D5" s="201">
        <f>CRONOGRAMA!E10*ORÇAMENTO!I41</f>
        <v>35466.080000000009</v>
      </c>
      <c r="E5" s="201">
        <f>CRONOGRAMA!F10*ORÇAMENTO!I41</f>
        <v>35466.080000000009</v>
      </c>
      <c r="F5" s="201">
        <f>CRONOGRAMA!G10*ORÇAMENTO!I41</f>
        <v>35466.080000000009</v>
      </c>
      <c r="G5" s="201">
        <f>CRONOGRAMA!H10*ORÇAMENTO!I41</f>
        <v>35466.080000000009</v>
      </c>
      <c r="H5" s="47">
        <f t="shared" si="0"/>
        <v>177330.40000000005</v>
      </c>
    </row>
    <row r="6" spans="1:8">
      <c r="A6" s="194" t="str">
        <f>CRONOGRAMA!B11</f>
        <v>INSUMOS</v>
      </c>
      <c r="B6" s="195"/>
      <c r="C6" s="202"/>
      <c r="D6" s="201">
        <f>CRONOGRAMA!E11*ORÇAMENTO!I51</f>
        <v>725015.41521392297</v>
      </c>
      <c r="E6" s="201">
        <f>CRONOGRAMA!F11*ORÇAMENTO!I51</f>
        <v>725015.41521392297</v>
      </c>
      <c r="F6" s="201">
        <f>CRONOGRAMA!G11*ORÇAMENTO!I51</f>
        <v>725015.41521392297</v>
      </c>
      <c r="G6" s="201">
        <f>CRONOGRAMA!H11*ORÇAMENTO!I51</f>
        <v>725015.41521392297</v>
      </c>
      <c r="H6" s="47">
        <f t="shared" si="0"/>
        <v>2900061.6608556919</v>
      </c>
    </row>
    <row r="7" spans="1:8">
      <c r="A7" s="194" t="str">
        <f>CRONOGRAMA!B12</f>
        <v>PAVIMENTAÇÃO</v>
      </c>
      <c r="B7" s="195"/>
      <c r="C7" s="202"/>
      <c r="D7" s="201">
        <f>CRONOGRAMA!E12*ORÇAMENTO!I31</f>
        <v>1594932.8205508324</v>
      </c>
      <c r="E7" s="201">
        <f>CRONOGRAMA!F12*ORÇAMENTO!I31</f>
        <v>1594932.8205508324</v>
      </c>
      <c r="F7" s="201">
        <f>CRONOGRAMA!G12*ORÇAMENTO!I31</f>
        <v>1594932.8205508324</v>
      </c>
      <c r="G7" s="201">
        <f>CRONOGRAMA!H12*ORÇAMENTO!I31</f>
        <v>1594932.8205508324</v>
      </c>
      <c r="H7" s="47">
        <f t="shared" si="0"/>
        <v>6379731.2822033297</v>
      </c>
    </row>
    <row r="8" spans="1:8">
      <c r="A8" s="194" t="str">
        <f>CRONOGRAMA!B13</f>
        <v>OBRAS COMPLEMENTARES</v>
      </c>
      <c r="B8" s="195"/>
      <c r="C8" s="202"/>
      <c r="D8" s="202"/>
      <c r="E8" s="202"/>
      <c r="F8" s="201">
        <f>CRONOGRAMA!G13*ORÇAMENTO!I46</f>
        <v>323284.47749999998</v>
      </c>
      <c r="G8" s="201">
        <f>CRONOGRAMA!H13*ORÇAMENTO!I46</f>
        <v>323284.47749999998</v>
      </c>
      <c r="H8" s="47">
        <f t="shared" si="0"/>
        <v>646568.95499999996</v>
      </c>
    </row>
    <row r="9" spans="1:8">
      <c r="A9" s="197" t="s">
        <v>295</v>
      </c>
      <c r="B9" s="196">
        <f t="shared" ref="B9:H9" si="1">SUM(B2:B8)</f>
        <v>1365409.507176477</v>
      </c>
      <c r="C9" s="196">
        <f t="shared" si="1"/>
        <v>1341038.4437799023</v>
      </c>
      <c r="D9" s="196">
        <f t="shared" si="1"/>
        <v>3737181.0857756655</v>
      </c>
      <c r="E9" s="196">
        <f t="shared" si="1"/>
        <v>3737181.0857756655</v>
      </c>
      <c r="F9" s="196">
        <f t="shared" si="1"/>
        <v>4071083.2436303715</v>
      </c>
      <c r="G9" s="196">
        <f t="shared" si="1"/>
        <v>2844314.5572639406</v>
      </c>
      <c r="H9" s="47">
        <f t="shared" si="1"/>
        <v>17096207.923402023</v>
      </c>
    </row>
    <row r="10" spans="1:8">
      <c r="A10" s="197" t="s">
        <v>302</v>
      </c>
      <c r="B10" s="199">
        <f>ORÇAMENTO!K58</f>
        <v>3.2843149280824692E-2</v>
      </c>
      <c r="C10" s="199">
        <f>ORÇAMENTO!K58</f>
        <v>3.2843149280824692E-2</v>
      </c>
      <c r="D10" s="199">
        <f>ORÇAMENTO!K58</f>
        <v>3.2843149280824692E-2</v>
      </c>
      <c r="E10" s="199">
        <f>ORÇAMENTO!K58</f>
        <v>3.2843149280824692E-2</v>
      </c>
      <c r="F10" s="199">
        <f>ORÇAMENTO!K58</f>
        <v>3.2843149280824692E-2</v>
      </c>
      <c r="G10" s="199">
        <f>ORÇAMENTO!K58</f>
        <v>3.2843149280824692E-2</v>
      </c>
    </row>
    <row r="11" spans="1:8">
      <c r="A11" s="197"/>
      <c r="B11" s="198"/>
      <c r="C11" s="198"/>
      <c r="D11" s="198"/>
      <c r="E11" s="198"/>
      <c r="F11" s="198"/>
      <c r="G11" s="198"/>
    </row>
    <row r="12" spans="1:8">
      <c r="A12" s="197" t="s">
        <v>301</v>
      </c>
      <c r="B12" s="206">
        <f>B3/ORÇAMENTO!$I$58</f>
        <v>7.9866220233988025E-2</v>
      </c>
      <c r="C12" s="206">
        <f>C3/ORÇAMENTO!$I$58</f>
        <v>7.8440695725525852E-2</v>
      </c>
      <c r="D12" s="206">
        <f>D3/ORÇAMENTO!$I$58</f>
        <v>0.21859707734719649</v>
      </c>
      <c r="E12" s="206">
        <f>E3/ORÇAMENTO!$I$58</f>
        <v>0.21859707734719649</v>
      </c>
      <c r="F12" s="206">
        <f>F3/ORÇAMENTO!$I$58</f>
        <v>0.23812785044908691</v>
      </c>
      <c r="G12" s="206">
        <f>G3/ORÇAMENTO!$I$58</f>
        <v>0.16637107889700622</v>
      </c>
    </row>
    <row r="13" spans="1:8">
      <c r="F13" s="203"/>
    </row>
    <row r="14" spans="1:8">
      <c r="B14" s="200"/>
      <c r="F14" s="123"/>
    </row>
    <row r="15" spans="1:8">
      <c r="F15" s="123"/>
    </row>
    <row r="16" spans="1:8">
      <c r="C16" t="s">
        <v>9</v>
      </c>
    </row>
    <row r="17" spans="7:8">
      <c r="G17" s="47"/>
      <c r="H17" s="205"/>
    </row>
    <row r="18" spans="7:8">
      <c r="G18" s="47"/>
    </row>
    <row r="19" spans="7:8">
      <c r="G19" s="47"/>
    </row>
  </sheetData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O45"/>
  <sheetViews>
    <sheetView showGridLines="0" topLeftCell="A2" zoomScale="70" zoomScaleNormal="70" workbookViewId="0">
      <selection activeCell="I23" sqref="I23"/>
    </sheetView>
  </sheetViews>
  <sheetFormatPr baseColWidth="10" defaultColWidth="8.83203125" defaultRowHeight="15"/>
  <cols>
    <col min="1" max="1" width="7.5" customWidth="1"/>
    <col min="4" max="4" width="12.1640625" customWidth="1"/>
    <col min="5" max="5" width="10.83203125" customWidth="1"/>
  </cols>
  <sheetData>
    <row r="8" spans="1:10" ht="16">
      <c r="A8" s="233" t="s">
        <v>234</v>
      </c>
      <c r="B8" s="233"/>
      <c r="C8" s="233"/>
      <c r="D8" s="233"/>
      <c r="E8" s="233"/>
      <c r="F8" s="233"/>
      <c r="G8" s="233"/>
      <c r="H8" s="233"/>
      <c r="I8" s="233"/>
      <c r="J8" s="233"/>
    </row>
    <row r="10" spans="1:10" ht="21.75" customHeight="1">
      <c r="A10" s="236" t="s">
        <v>58</v>
      </c>
      <c r="B10" s="236"/>
      <c r="C10" s="236"/>
      <c r="D10" s="236"/>
      <c r="E10" s="236"/>
      <c r="F10" s="236"/>
      <c r="G10" s="236"/>
      <c r="H10" s="236"/>
      <c r="I10" s="236"/>
      <c r="J10" s="16"/>
    </row>
    <row r="11" spans="1:10" ht="30" customHeight="1">
      <c r="A11" s="147" t="s">
        <v>29</v>
      </c>
      <c r="B11" s="237" t="s">
        <v>59</v>
      </c>
      <c r="C11" s="237"/>
      <c r="D11" s="237"/>
      <c r="E11" s="237" t="s">
        <v>60</v>
      </c>
      <c r="F11" s="237"/>
      <c r="G11" s="147" t="s">
        <v>22</v>
      </c>
      <c r="H11" s="237" t="s">
        <v>61</v>
      </c>
      <c r="I11" s="237"/>
      <c r="J11" s="16"/>
    </row>
    <row r="12" spans="1:10" ht="30" customHeight="1">
      <c r="A12" s="151">
        <v>1</v>
      </c>
      <c r="B12" s="238" t="s">
        <v>88</v>
      </c>
      <c r="C12" s="238"/>
      <c r="D12" s="238"/>
      <c r="E12" s="239">
        <v>45231</v>
      </c>
      <c r="F12" s="238"/>
      <c r="G12" s="151" t="s">
        <v>20</v>
      </c>
      <c r="H12" s="241">
        <v>2.8357100000000002</v>
      </c>
      <c r="I12" s="242"/>
      <c r="J12" s="16"/>
    </row>
    <row r="13" spans="1:10" ht="15" customHeight="1">
      <c r="A13" s="151">
        <v>2</v>
      </c>
      <c r="B13" s="238" t="s">
        <v>25</v>
      </c>
      <c r="C13" s="238"/>
      <c r="D13" s="238"/>
      <c r="E13" s="239">
        <v>45231</v>
      </c>
      <c r="F13" s="238"/>
      <c r="G13" s="151" t="s">
        <v>20</v>
      </c>
      <c r="H13" s="241">
        <v>3.18431</v>
      </c>
      <c r="I13" s="242"/>
      <c r="J13" s="16"/>
    </row>
    <row r="14" spans="1:10" ht="15" customHeight="1">
      <c r="A14" s="151">
        <v>3</v>
      </c>
      <c r="B14" s="240" t="s">
        <v>24</v>
      </c>
      <c r="C14" s="240"/>
      <c r="D14" s="240"/>
      <c r="E14" s="239">
        <v>45231</v>
      </c>
      <c r="F14" s="238"/>
      <c r="G14" s="151" t="s">
        <v>20</v>
      </c>
      <c r="H14" s="241">
        <v>3.9694400000000001</v>
      </c>
      <c r="I14" s="242"/>
      <c r="J14" s="16"/>
    </row>
    <row r="15" spans="1:10">
      <c r="A15" s="10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5" customHeight="1">
      <c r="A16" s="234" t="s">
        <v>62</v>
      </c>
      <c r="B16" s="234"/>
      <c r="C16" s="234"/>
      <c r="D16" s="234"/>
      <c r="E16" s="234"/>
      <c r="F16" s="234"/>
      <c r="G16" s="234"/>
      <c r="H16" s="16"/>
      <c r="I16" s="16"/>
      <c r="J16" s="16"/>
    </row>
    <row r="17" spans="1:10" ht="15" customHeight="1">
      <c r="A17" s="234" t="s">
        <v>75</v>
      </c>
      <c r="B17" s="234"/>
      <c r="C17" s="234"/>
      <c r="D17" s="234"/>
      <c r="E17" s="234"/>
      <c r="F17" s="234"/>
      <c r="G17" s="234"/>
      <c r="H17" s="16"/>
      <c r="I17" s="16"/>
      <c r="J17" s="16"/>
    </row>
    <row r="18" spans="1:10">
      <c r="A18" s="234" t="s">
        <v>76</v>
      </c>
      <c r="B18" s="234"/>
      <c r="C18" s="234"/>
      <c r="D18" s="234"/>
      <c r="E18" s="234"/>
      <c r="F18" s="234"/>
      <c r="G18" s="234"/>
      <c r="H18" s="16"/>
      <c r="I18" s="16"/>
      <c r="J18" s="16"/>
    </row>
    <row r="19" spans="1:10">
      <c r="A19" s="235" t="s">
        <v>63</v>
      </c>
      <c r="B19" s="235"/>
      <c r="C19" s="235"/>
      <c r="D19" s="235"/>
      <c r="E19" s="235" t="s">
        <v>64</v>
      </c>
      <c r="F19" s="235"/>
      <c r="G19" s="235"/>
      <c r="H19" s="16"/>
      <c r="I19" s="16"/>
      <c r="J19" s="16"/>
    </row>
    <row r="20" spans="1:10">
      <c r="A20" s="157">
        <v>1</v>
      </c>
      <c r="B20" s="235" t="s">
        <v>77</v>
      </c>
      <c r="C20" s="235"/>
      <c r="D20" s="154"/>
      <c r="E20" s="243">
        <v>270.23700000000002</v>
      </c>
      <c r="F20" s="243"/>
      <c r="G20" s="243"/>
      <c r="H20" s="16"/>
      <c r="I20" s="16"/>
      <c r="J20" s="16"/>
    </row>
    <row r="21" spans="1:10">
      <c r="A21" s="157">
        <v>2</v>
      </c>
      <c r="B21" s="235" t="s">
        <v>78</v>
      </c>
      <c r="C21" s="235"/>
      <c r="D21" s="155">
        <v>45261</v>
      </c>
      <c r="E21" s="243">
        <v>559.69600000000003</v>
      </c>
      <c r="F21" s="243"/>
      <c r="G21" s="243"/>
      <c r="H21" s="16"/>
      <c r="I21" s="16"/>
      <c r="J21" s="16"/>
    </row>
    <row r="22" spans="1:10">
      <c r="A22" s="157">
        <v>3</v>
      </c>
      <c r="B22" s="235" t="s">
        <v>79</v>
      </c>
      <c r="C22" s="235"/>
      <c r="D22" s="156">
        <v>286</v>
      </c>
      <c r="E22" s="244"/>
      <c r="F22" s="244"/>
      <c r="G22" s="244"/>
      <c r="H22" s="16"/>
      <c r="I22" s="16"/>
      <c r="J22" s="16"/>
    </row>
    <row r="23" spans="1:10">
      <c r="A23" s="245" t="s">
        <v>80</v>
      </c>
      <c r="B23" s="245"/>
      <c r="C23" s="245"/>
      <c r="D23" s="245"/>
      <c r="E23" s="246">
        <f>((26.939+(0.253*D22))*(E21/E20))</f>
        <v>205.65701111246793</v>
      </c>
      <c r="F23" s="246"/>
      <c r="G23" s="246"/>
      <c r="H23" s="16"/>
      <c r="I23" s="16"/>
      <c r="J23" s="16"/>
    </row>
    <row r="24" spans="1:10">
      <c r="A24" s="11"/>
      <c r="B24" s="12"/>
      <c r="C24" s="12"/>
      <c r="D24" s="12"/>
      <c r="E24" s="13"/>
      <c r="F24" s="13"/>
      <c r="G24" s="13"/>
      <c r="H24" s="16"/>
      <c r="I24" s="16"/>
      <c r="J24" s="16"/>
    </row>
    <row r="25" spans="1:10" ht="15" customHeight="1">
      <c r="A25" s="248" t="s">
        <v>65</v>
      </c>
      <c r="B25" s="249"/>
      <c r="C25" s="249"/>
      <c r="D25" s="249"/>
      <c r="E25" s="249"/>
      <c r="F25" s="249"/>
      <c r="G25" s="249"/>
      <c r="H25" s="249"/>
      <c r="I25" s="249"/>
      <c r="J25" s="250"/>
    </row>
    <row r="26" spans="1:10" ht="28" customHeight="1">
      <c r="A26" s="147" t="s">
        <v>29</v>
      </c>
      <c r="B26" s="237" t="s">
        <v>59</v>
      </c>
      <c r="C26" s="237"/>
      <c r="D26" s="237"/>
      <c r="E26" s="147" t="s">
        <v>66</v>
      </c>
      <c r="F26" s="237" t="s">
        <v>67</v>
      </c>
      <c r="G26" s="237"/>
      <c r="H26" s="237"/>
      <c r="I26" s="237" t="s">
        <v>68</v>
      </c>
      <c r="J26" s="237"/>
    </row>
    <row r="27" spans="1:10" ht="35" customHeight="1">
      <c r="A27" s="151">
        <v>1</v>
      </c>
      <c r="B27" s="238" t="s">
        <v>88</v>
      </c>
      <c r="C27" s="238"/>
      <c r="D27" s="238"/>
      <c r="E27" s="153">
        <v>0.17</v>
      </c>
      <c r="F27" s="238" t="s">
        <v>69</v>
      </c>
      <c r="G27" s="238"/>
      <c r="H27" s="238"/>
      <c r="I27" s="247">
        <f>(H12*1000)/(1-E27)</f>
        <v>3416.5180722891569</v>
      </c>
      <c r="J27" s="247"/>
    </row>
    <row r="28" spans="1:10" ht="35" customHeight="1">
      <c r="A28" s="151">
        <v>2</v>
      </c>
      <c r="B28" s="238" t="s">
        <v>25</v>
      </c>
      <c r="C28" s="238"/>
      <c r="D28" s="238"/>
      <c r="E28" s="153">
        <v>0.17</v>
      </c>
      <c r="F28" s="238" t="s">
        <v>69</v>
      </c>
      <c r="G28" s="238"/>
      <c r="H28" s="238"/>
      <c r="I28" s="247">
        <f>(H13*1000)/(1-E28)</f>
        <v>3836.5180722891569</v>
      </c>
      <c r="J28" s="247"/>
    </row>
    <row r="29" spans="1:10" ht="35" customHeight="1">
      <c r="A29" s="151">
        <v>3</v>
      </c>
      <c r="B29" s="238" t="s">
        <v>24</v>
      </c>
      <c r="C29" s="238"/>
      <c r="D29" s="238"/>
      <c r="E29" s="153">
        <v>0.17</v>
      </c>
      <c r="F29" s="238" t="s">
        <v>69</v>
      </c>
      <c r="G29" s="238"/>
      <c r="H29" s="238"/>
      <c r="I29" s="247">
        <f>(H14*1000)/(1-E29)</f>
        <v>4782.4578313253014</v>
      </c>
      <c r="J29" s="247"/>
    </row>
    <row r="30" spans="1:10">
      <c r="A30" s="15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5" customHeight="1">
      <c r="A31" s="248" t="s">
        <v>70</v>
      </c>
      <c r="B31" s="249"/>
      <c r="C31" s="249"/>
      <c r="D31" s="249"/>
      <c r="E31" s="249"/>
      <c r="F31" s="249"/>
      <c r="G31" s="249"/>
      <c r="H31" s="249"/>
      <c r="I31" s="249"/>
      <c r="J31" s="250"/>
    </row>
    <row r="32" spans="1:10" ht="28" customHeight="1">
      <c r="A32" s="147" t="s">
        <v>29</v>
      </c>
      <c r="B32" s="237" t="s">
        <v>59</v>
      </c>
      <c r="C32" s="237"/>
      <c r="D32" s="237"/>
      <c r="E32" s="147" t="s">
        <v>66</v>
      </c>
      <c r="F32" s="237" t="s">
        <v>67</v>
      </c>
      <c r="G32" s="237"/>
      <c r="H32" s="237"/>
      <c r="I32" s="237" t="s">
        <v>68</v>
      </c>
      <c r="J32" s="237"/>
    </row>
    <row r="33" spans="1:15" ht="27.75" customHeight="1">
      <c r="A33" s="151">
        <v>1</v>
      </c>
      <c r="B33" s="238" t="s">
        <v>88</v>
      </c>
      <c r="C33" s="238"/>
      <c r="D33" s="238"/>
      <c r="E33" s="153">
        <v>0.1769</v>
      </c>
      <c r="F33" s="238" t="s">
        <v>71</v>
      </c>
      <c r="G33" s="238"/>
      <c r="H33" s="238"/>
      <c r="I33" s="247">
        <f>I27*(1+E33)</f>
        <v>4020.9001192771088</v>
      </c>
      <c r="J33" s="247"/>
    </row>
    <row r="34" spans="1:15" ht="15" customHeight="1">
      <c r="A34" s="151">
        <v>2</v>
      </c>
      <c r="B34" s="238" t="s">
        <v>25</v>
      </c>
      <c r="C34" s="238"/>
      <c r="D34" s="238"/>
      <c r="E34" s="153">
        <v>0.1769</v>
      </c>
      <c r="F34" s="238" t="s">
        <v>71</v>
      </c>
      <c r="G34" s="238"/>
      <c r="H34" s="238"/>
      <c r="I34" s="247">
        <f>I28*(1+E34)</f>
        <v>4515.1981192771091</v>
      </c>
      <c r="J34" s="247"/>
    </row>
    <row r="35" spans="1:15" ht="15" customHeight="1">
      <c r="A35" s="151">
        <v>3</v>
      </c>
      <c r="B35" s="238" t="s">
        <v>24</v>
      </c>
      <c r="C35" s="238"/>
      <c r="D35" s="238"/>
      <c r="E35" s="153">
        <v>0.1769</v>
      </c>
      <c r="F35" s="238" t="s">
        <v>71</v>
      </c>
      <c r="G35" s="238"/>
      <c r="H35" s="238"/>
      <c r="I35" s="247">
        <f>I29*(1+E35)</f>
        <v>5628.4746216867479</v>
      </c>
      <c r="J35" s="247"/>
    </row>
    <row r="36" spans="1:1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5" ht="15" customHeight="1">
      <c r="A37" s="248" t="s">
        <v>72</v>
      </c>
      <c r="B37" s="249"/>
      <c r="C37" s="249"/>
      <c r="D37" s="249"/>
      <c r="E37" s="249"/>
      <c r="F37" s="249"/>
      <c r="G37" s="249"/>
      <c r="H37" s="249"/>
      <c r="I37" s="249"/>
      <c r="J37" s="250"/>
    </row>
    <row r="38" spans="1:15" ht="26">
      <c r="A38" s="147" t="s">
        <v>29</v>
      </c>
      <c r="B38" s="237" t="s">
        <v>59</v>
      </c>
      <c r="C38" s="237"/>
      <c r="D38" s="237"/>
      <c r="E38" s="147" t="s">
        <v>73</v>
      </c>
      <c r="F38" s="237" t="s">
        <v>74</v>
      </c>
      <c r="G38" s="237"/>
      <c r="H38" s="237"/>
      <c r="I38" s="237" t="s">
        <v>68</v>
      </c>
      <c r="J38" s="237"/>
    </row>
    <row r="39" spans="1:15" ht="28.5" customHeight="1">
      <c r="A39" s="151">
        <v>1</v>
      </c>
      <c r="B39" s="238" t="s">
        <v>88</v>
      </c>
      <c r="C39" s="238"/>
      <c r="D39" s="238"/>
      <c r="E39" s="152">
        <f>E23</f>
        <v>205.65701111246793</v>
      </c>
      <c r="F39" s="247">
        <f>I33</f>
        <v>4020.9001192771088</v>
      </c>
      <c r="G39" s="247"/>
      <c r="H39" s="247"/>
      <c r="I39" s="253">
        <f>E39+F39</f>
        <v>4226.5571303895767</v>
      </c>
      <c r="J39" s="254"/>
    </row>
    <row r="40" spans="1:15" ht="15" customHeight="1">
      <c r="A40" s="151">
        <v>2</v>
      </c>
      <c r="B40" s="238" t="s">
        <v>25</v>
      </c>
      <c r="C40" s="238"/>
      <c r="D40" s="238"/>
      <c r="E40" s="152">
        <f>E23</f>
        <v>205.65701111246793</v>
      </c>
      <c r="F40" s="247">
        <f>I34</f>
        <v>4515.1981192771091</v>
      </c>
      <c r="G40" s="247"/>
      <c r="H40" s="247"/>
      <c r="I40" s="251">
        <f t="shared" ref="I40:I41" si="0">E40+F40</f>
        <v>4720.8551303895774</v>
      </c>
      <c r="J40" s="252"/>
    </row>
    <row r="41" spans="1:15" ht="15" customHeight="1">
      <c r="A41" s="151">
        <v>3</v>
      </c>
      <c r="B41" s="238" t="s">
        <v>24</v>
      </c>
      <c r="C41" s="238"/>
      <c r="D41" s="238"/>
      <c r="E41" s="152">
        <f>E23</f>
        <v>205.65701111246793</v>
      </c>
      <c r="F41" s="247">
        <f>I35</f>
        <v>5628.4746216867479</v>
      </c>
      <c r="G41" s="247"/>
      <c r="H41" s="247"/>
      <c r="I41" s="251">
        <f t="shared" si="0"/>
        <v>5834.1316327992163</v>
      </c>
      <c r="J41" s="252"/>
    </row>
    <row r="43" spans="1:15" ht="16">
      <c r="A43" s="225" t="s">
        <v>85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"/>
      <c r="L43" s="25"/>
      <c r="M43" s="25"/>
      <c r="N43" s="25"/>
      <c r="O43" s="25"/>
    </row>
    <row r="44" spans="1:15" ht="16">
      <c r="A44" s="226" t="s">
        <v>83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4"/>
      <c r="L44" s="24"/>
      <c r="M44" s="24"/>
      <c r="N44" s="24"/>
      <c r="O44" s="24"/>
    </row>
    <row r="45" spans="1:15" ht="16">
      <c r="A45" s="226" t="s">
        <v>84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4"/>
      <c r="L45" s="24"/>
      <c r="M45" s="24"/>
      <c r="N45" s="24"/>
      <c r="O45" s="24"/>
    </row>
  </sheetData>
  <mergeCells count="69">
    <mergeCell ref="B39:D39"/>
    <mergeCell ref="F39:H39"/>
    <mergeCell ref="I39:J39"/>
    <mergeCell ref="B40:D40"/>
    <mergeCell ref="F40:H40"/>
    <mergeCell ref="I40:J40"/>
    <mergeCell ref="A44:J44"/>
    <mergeCell ref="A45:J45"/>
    <mergeCell ref="A43:J43"/>
    <mergeCell ref="B41:D41"/>
    <mergeCell ref="F41:H41"/>
    <mergeCell ref="I41:J41"/>
    <mergeCell ref="F38:H38"/>
    <mergeCell ref="I38:J38"/>
    <mergeCell ref="B34:D34"/>
    <mergeCell ref="F34:H34"/>
    <mergeCell ref="I34:J34"/>
    <mergeCell ref="B35:D35"/>
    <mergeCell ref="F35:H35"/>
    <mergeCell ref="I35:J35"/>
    <mergeCell ref="A37:J37"/>
    <mergeCell ref="B38:D38"/>
    <mergeCell ref="A31:J31"/>
    <mergeCell ref="B32:D32"/>
    <mergeCell ref="F32:H32"/>
    <mergeCell ref="I32:J32"/>
    <mergeCell ref="B33:D33"/>
    <mergeCell ref="F33:H33"/>
    <mergeCell ref="I33:J33"/>
    <mergeCell ref="B28:D28"/>
    <mergeCell ref="F28:H28"/>
    <mergeCell ref="I28:J28"/>
    <mergeCell ref="B29:D29"/>
    <mergeCell ref="F29:H29"/>
    <mergeCell ref="I29:J29"/>
    <mergeCell ref="B27:D27"/>
    <mergeCell ref="F27:H27"/>
    <mergeCell ref="I27:J27"/>
    <mergeCell ref="A25:J25"/>
    <mergeCell ref="B26:D26"/>
    <mergeCell ref="F26:H26"/>
    <mergeCell ref="I26:J26"/>
    <mergeCell ref="B22:C22"/>
    <mergeCell ref="E22:G22"/>
    <mergeCell ref="B20:C20"/>
    <mergeCell ref="A23:D23"/>
    <mergeCell ref="E23:G23"/>
    <mergeCell ref="H12:I12"/>
    <mergeCell ref="H13:I13"/>
    <mergeCell ref="H14:I14"/>
    <mergeCell ref="E20:G20"/>
    <mergeCell ref="B21:C21"/>
    <mergeCell ref="E21:G21"/>
    <mergeCell ref="A8:J8"/>
    <mergeCell ref="A16:G16"/>
    <mergeCell ref="A17:G17"/>
    <mergeCell ref="A18:G18"/>
    <mergeCell ref="A19:D19"/>
    <mergeCell ref="E19:G19"/>
    <mergeCell ref="A10:I10"/>
    <mergeCell ref="B11:D11"/>
    <mergeCell ref="E11:F11"/>
    <mergeCell ref="H11:I11"/>
    <mergeCell ref="B12:D12"/>
    <mergeCell ref="E12:F12"/>
    <mergeCell ref="B13:D13"/>
    <mergeCell ref="E13:F13"/>
    <mergeCell ref="B14:D14"/>
    <mergeCell ref="E14:F14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7" fitToHeight="0"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shapeId="2051" r:id="rId4">
          <objectPr defaultSize="0" autoPict="0" r:id="rId5">
            <anchor moveWithCells="1" sizeWithCells="1">
              <from>
                <xdr:col>7</xdr:col>
                <xdr:colOff>508000</xdr:colOff>
                <xdr:row>3</xdr:row>
                <xdr:rowOff>127000</xdr:rowOff>
              </from>
              <to>
                <xdr:col>9</xdr:col>
                <xdr:colOff>177800</xdr:colOff>
                <xdr:row>8</xdr:row>
                <xdr:rowOff>101600</xdr:rowOff>
              </to>
            </anchor>
          </objectPr>
        </oleObject>
      </mc:Choice>
      <mc:Fallback>
        <oleObject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00"/>
  <sheetViews>
    <sheetView showGridLines="0" view="pageBreakPreview" zoomScale="80" zoomScaleNormal="90" zoomScaleSheetLayoutView="80" workbookViewId="0">
      <selection activeCell="N12" sqref="N12"/>
    </sheetView>
  </sheetViews>
  <sheetFormatPr baseColWidth="10" defaultColWidth="8.83203125" defaultRowHeight="15"/>
  <cols>
    <col min="1" max="1" width="5.5" customWidth="1"/>
    <col min="2" max="2" width="9.33203125" customWidth="1"/>
    <col min="3" max="3" width="9.6640625" customWidth="1"/>
    <col min="6" max="6" width="22.33203125" customWidth="1"/>
    <col min="7" max="7" width="7.5" customWidth="1"/>
    <col min="8" max="8" width="47.1640625" customWidth="1"/>
    <col min="9" max="9" width="12.5" style="33" customWidth="1"/>
    <col min="10" max="10" width="13.83203125" customWidth="1"/>
    <col min="11" max="11" width="22.83203125" customWidth="1"/>
    <col min="12" max="12" width="4.33203125" customWidth="1"/>
    <col min="13" max="13" width="6.33203125" customWidth="1"/>
    <col min="14" max="14" width="14.5" customWidth="1"/>
    <col min="15" max="15" width="11.33203125" customWidth="1"/>
    <col min="16" max="16" width="13.33203125" customWidth="1"/>
    <col min="17" max="17" width="14.83203125" customWidth="1"/>
    <col min="18" max="18" width="15.1640625" customWidth="1"/>
    <col min="19" max="19" width="12.5" customWidth="1"/>
    <col min="21" max="21" width="11.1640625" customWidth="1"/>
    <col min="22" max="22" width="11.6640625" customWidth="1"/>
    <col min="25" max="25" width="10.5" customWidth="1"/>
    <col min="26" max="26" width="23" customWidth="1"/>
    <col min="27" max="27" width="9.1640625" customWidth="1"/>
    <col min="28" max="28" width="21" customWidth="1"/>
  </cols>
  <sheetData>
    <row r="1" spans="1:21" ht="25.5" customHeight="1">
      <c r="A1" s="268"/>
      <c r="B1" s="269"/>
      <c r="C1" s="269"/>
      <c r="D1" s="269"/>
      <c r="E1" s="178"/>
      <c r="F1" s="271" t="s">
        <v>89</v>
      </c>
      <c r="G1" s="271"/>
      <c r="H1" s="271"/>
      <c r="I1" s="271"/>
      <c r="J1" s="271"/>
      <c r="K1" s="272"/>
      <c r="L1" s="1"/>
      <c r="M1" s="1"/>
    </row>
    <row r="2" spans="1:21" ht="15" customHeight="1">
      <c r="A2" s="273" t="s">
        <v>205</v>
      </c>
      <c r="B2" s="274"/>
      <c r="C2" s="274"/>
      <c r="D2" s="274"/>
      <c r="E2" s="274"/>
      <c r="F2" s="274"/>
      <c r="G2" s="274"/>
      <c r="H2" s="274"/>
      <c r="I2" s="274"/>
      <c r="J2" s="274"/>
      <c r="K2" s="275"/>
      <c r="L2" s="1"/>
      <c r="M2" s="1"/>
    </row>
    <row r="3" spans="1:21" ht="15" customHeight="1">
      <c r="A3" s="273" t="s">
        <v>99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  <c r="L3" s="1"/>
      <c r="M3" s="1"/>
    </row>
    <row r="4" spans="1:21" ht="15" customHeight="1">
      <c r="A4" s="276" t="s">
        <v>0</v>
      </c>
      <c r="B4" s="277"/>
      <c r="C4" s="277"/>
      <c r="D4" s="277"/>
      <c r="E4" s="277"/>
      <c r="F4" s="277"/>
      <c r="G4" s="277"/>
      <c r="H4" s="277"/>
      <c r="I4" s="277"/>
      <c r="J4" s="277"/>
      <c r="K4" s="278"/>
      <c r="L4" s="1"/>
      <c r="M4" s="1"/>
    </row>
    <row r="5" spans="1:21" ht="23" customHeight="1">
      <c r="A5" s="282" t="s">
        <v>303</v>
      </c>
      <c r="B5" s="283"/>
      <c r="C5" s="283"/>
      <c r="D5" s="283"/>
      <c r="E5" s="283"/>
      <c r="F5" s="283"/>
      <c r="G5" s="283"/>
      <c r="H5" s="283"/>
      <c r="I5" s="283"/>
      <c r="J5" s="283"/>
      <c r="K5" s="284"/>
      <c r="L5" s="1"/>
      <c r="M5" s="1"/>
    </row>
    <row r="6" spans="1:21" ht="23" customHeight="1">
      <c r="A6" s="282" t="s">
        <v>308</v>
      </c>
      <c r="B6" s="283"/>
      <c r="C6" s="283"/>
      <c r="D6" s="283"/>
      <c r="E6" s="283"/>
      <c r="F6" s="283"/>
      <c r="G6" s="283"/>
      <c r="H6" s="283"/>
      <c r="I6" s="283"/>
      <c r="J6" s="283"/>
      <c r="K6" s="284"/>
      <c r="L6" s="1"/>
      <c r="M6" s="1"/>
    </row>
    <row r="7" spans="1:21" ht="23" customHeight="1">
      <c r="A7" s="279" t="s">
        <v>305</v>
      </c>
      <c r="B7" s="280"/>
      <c r="C7" s="280"/>
      <c r="D7" s="280"/>
      <c r="E7" s="280"/>
      <c r="F7" s="280"/>
      <c r="G7" s="280"/>
      <c r="H7" s="280"/>
      <c r="I7" s="280"/>
      <c r="J7" s="280"/>
      <c r="K7" s="281"/>
      <c r="L7" s="1"/>
      <c r="M7" s="1"/>
      <c r="Q7" s="299"/>
      <c r="R7" s="299"/>
      <c r="S7" s="299"/>
      <c r="T7" s="299"/>
      <c r="U7" s="299"/>
    </row>
    <row r="8" spans="1:21" ht="35" customHeight="1">
      <c r="A8" s="4" t="s">
        <v>28</v>
      </c>
      <c r="B8" s="21" t="s">
        <v>2</v>
      </c>
      <c r="C8" s="21" t="s">
        <v>3</v>
      </c>
      <c r="D8" s="270" t="s">
        <v>211</v>
      </c>
      <c r="E8" s="270"/>
      <c r="F8" s="270"/>
      <c r="G8" s="21" t="s">
        <v>4</v>
      </c>
      <c r="H8" s="21" t="s">
        <v>5</v>
      </c>
      <c r="I8" s="29" t="s">
        <v>6</v>
      </c>
      <c r="J8" s="29" t="s">
        <v>15</v>
      </c>
      <c r="K8" s="21" t="s">
        <v>16</v>
      </c>
      <c r="L8" s="1"/>
      <c r="M8" s="1"/>
      <c r="Q8" s="299" t="s">
        <v>9</v>
      </c>
      <c r="R8" s="299"/>
    </row>
    <row r="9" spans="1:21" ht="35" customHeight="1">
      <c r="A9" s="43" t="s">
        <v>90</v>
      </c>
      <c r="B9" s="17" t="s">
        <v>186</v>
      </c>
      <c r="C9" s="17">
        <v>45801</v>
      </c>
      <c r="D9" s="300" t="s">
        <v>236</v>
      </c>
      <c r="E9" s="301"/>
      <c r="F9" s="302"/>
      <c r="G9" s="17" t="s">
        <v>160</v>
      </c>
      <c r="H9" s="17" t="s">
        <v>95</v>
      </c>
      <c r="I9" s="30">
        <f>TRUNC('DADOS '!A8/1000,2)</f>
        <v>11.45</v>
      </c>
      <c r="J9" s="207">
        <v>18480.939999999999</v>
      </c>
      <c r="K9" s="22">
        <f>I9*J9</f>
        <v>211606.76299999998</v>
      </c>
      <c r="L9" s="1"/>
      <c r="M9" s="1"/>
      <c r="Q9" s="15"/>
      <c r="R9" s="15"/>
    </row>
    <row r="10" spans="1:21" ht="35" customHeight="1">
      <c r="A10" s="43" t="s">
        <v>91</v>
      </c>
      <c r="B10" s="17" t="s">
        <v>186</v>
      </c>
      <c r="C10" s="27">
        <v>40804</v>
      </c>
      <c r="D10" s="303" t="s">
        <v>96</v>
      </c>
      <c r="E10" s="304"/>
      <c r="F10" s="305"/>
      <c r="G10" s="27" t="s">
        <v>12</v>
      </c>
      <c r="H10" s="23" t="s">
        <v>95</v>
      </c>
      <c r="I10" s="31">
        <f>'DADOS '!F16</f>
        <v>22905.9</v>
      </c>
      <c r="J10" s="207">
        <v>5.09</v>
      </c>
      <c r="K10" s="22">
        <f>I10*J10</f>
        <v>116591.031</v>
      </c>
      <c r="L10" s="1"/>
      <c r="M10" s="1"/>
      <c r="Q10" s="15"/>
      <c r="R10" s="15"/>
    </row>
    <row r="11" spans="1:21" ht="35" customHeight="1">
      <c r="A11" s="43" t="s">
        <v>92</v>
      </c>
      <c r="B11" s="17" t="s">
        <v>186</v>
      </c>
      <c r="C11" s="27">
        <v>40800</v>
      </c>
      <c r="D11" s="303" t="s">
        <v>97</v>
      </c>
      <c r="E11" s="304"/>
      <c r="F11" s="305"/>
      <c r="G11" s="27" t="s">
        <v>12</v>
      </c>
      <c r="H11" s="23" t="s">
        <v>95</v>
      </c>
      <c r="I11" s="31">
        <f>'DADOS '!F16</f>
        <v>22905.9</v>
      </c>
      <c r="J11" s="207">
        <v>18.63</v>
      </c>
      <c r="K11" s="22">
        <f>I11*J11</f>
        <v>426736.91700000002</v>
      </c>
      <c r="L11" s="1"/>
      <c r="M11" s="1"/>
      <c r="Q11" s="15"/>
      <c r="R11" s="15"/>
    </row>
    <row r="12" spans="1:21" ht="35" customHeight="1">
      <c r="A12" s="43" t="s">
        <v>181</v>
      </c>
      <c r="B12" s="17" t="s">
        <v>186</v>
      </c>
      <c r="C12" s="17">
        <v>44001</v>
      </c>
      <c r="D12" s="255" t="s">
        <v>237</v>
      </c>
      <c r="E12" s="256"/>
      <c r="F12" s="257"/>
      <c r="G12" s="17" t="s">
        <v>7</v>
      </c>
      <c r="H12" s="17" t="s">
        <v>37</v>
      </c>
      <c r="I12" s="30">
        <f>('DADOS '!A8*'DADOS '!C8)</f>
        <v>274870.80000000005</v>
      </c>
      <c r="J12" s="207">
        <v>0.27</v>
      </c>
      <c r="K12" s="22">
        <f>I12*J12</f>
        <v>74215.116000000024</v>
      </c>
      <c r="L12" s="1"/>
      <c r="M12" s="1"/>
      <c r="Q12" s="15"/>
      <c r="R12" s="15"/>
    </row>
    <row r="13" spans="1:21" ht="35" customHeight="1">
      <c r="A13" s="43" t="s">
        <v>182</v>
      </c>
      <c r="B13" s="17" t="s">
        <v>186</v>
      </c>
      <c r="C13" s="17">
        <v>40005</v>
      </c>
      <c r="D13" s="240" t="s">
        <v>14</v>
      </c>
      <c r="E13" s="240"/>
      <c r="F13" s="240"/>
      <c r="G13" s="17" t="s">
        <v>8</v>
      </c>
      <c r="H13" s="18" t="s">
        <v>38</v>
      </c>
      <c r="I13" s="31">
        <f>I12*'DADOS '!A10*'DADOS '!E10</f>
        <v>32984.496000000006</v>
      </c>
      <c r="J13" s="207">
        <v>2.85</v>
      </c>
      <c r="K13" s="22">
        <f>I13*J13</f>
        <v>94005.813600000023</v>
      </c>
      <c r="L13" s="1"/>
      <c r="M13" s="1"/>
      <c r="Q13" s="299"/>
      <c r="R13" s="299"/>
    </row>
    <row r="14" spans="1:21" ht="35" customHeight="1">
      <c r="A14" s="43" t="s">
        <v>281</v>
      </c>
      <c r="B14" s="17" t="s">
        <v>186</v>
      </c>
      <c r="C14" s="17">
        <v>40006</v>
      </c>
      <c r="D14" s="240" t="s">
        <v>188</v>
      </c>
      <c r="E14" s="240"/>
      <c r="F14" s="240"/>
      <c r="G14" s="17" t="s">
        <v>10</v>
      </c>
      <c r="H14" s="18" t="s">
        <v>39</v>
      </c>
      <c r="I14" s="30">
        <f>I13*'DADOS '!B10</f>
        <v>189660.85200000004</v>
      </c>
      <c r="J14" s="207">
        <v>2.76</v>
      </c>
      <c r="K14" s="22">
        <f t="shared" ref="K14:K29" si="0">I14*J14</f>
        <v>523463.95152000006</v>
      </c>
      <c r="L14" s="1"/>
      <c r="M14" s="1"/>
      <c r="Q14" s="299"/>
      <c r="R14" s="299"/>
    </row>
    <row r="15" spans="1:21" ht="35" customHeight="1">
      <c r="A15" s="43" t="s">
        <v>183</v>
      </c>
      <c r="B15" s="17" t="s">
        <v>186</v>
      </c>
      <c r="C15" s="17">
        <v>40090</v>
      </c>
      <c r="D15" s="240" t="s">
        <v>189</v>
      </c>
      <c r="E15" s="240"/>
      <c r="F15" s="240"/>
      <c r="G15" s="17" t="s">
        <v>8</v>
      </c>
      <c r="H15" s="18" t="s">
        <v>87</v>
      </c>
      <c r="I15" s="30">
        <f>'DADOS '!B18+'DADOS '!C18</f>
        <v>157493.83000000002</v>
      </c>
      <c r="J15" s="211">
        <v>2.29</v>
      </c>
      <c r="K15" s="22">
        <f t="shared" si="0"/>
        <v>360660.87070000003</v>
      </c>
      <c r="L15" s="1"/>
      <c r="M15" s="1"/>
    </row>
    <row r="16" spans="1:21" ht="35" customHeight="1">
      <c r="A16" s="43" t="s">
        <v>93</v>
      </c>
      <c r="B16" s="17" t="s">
        <v>186</v>
      </c>
      <c r="C16" s="17">
        <v>40320</v>
      </c>
      <c r="D16" s="240" t="s">
        <v>190</v>
      </c>
      <c r="E16" s="240"/>
      <c r="F16" s="240"/>
      <c r="G16" s="17" t="s">
        <v>10</v>
      </c>
      <c r="H16" s="18" t="s">
        <v>87</v>
      </c>
      <c r="I16" s="30">
        <f>I15*'DADOS '!E10*'DADOS '!B12</f>
        <v>1086707.4270000001</v>
      </c>
      <c r="J16" s="211">
        <v>3.04</v>
      </c>
      <c r="K16" s="22">
        <f t="shared" si="0"/>
        <v>3303590.5780800004</v>
      </c>
      <c r="L16" s="1"/>
      <c r="M16" s="1"/>
    </row>
    <row r="17" spans="1:15" ht="35" customHeight="1">
      <c r="A17" s="43" t="s">
        <v>282</v>
      </c>
      <c r="B17" s="17" t="s">
        <v>186</v>
      </c>
      <c r="C17" s="27">
        <v>40101</v>
      </c>
      <c r="D17" s="303" t="s">
        <v>86</v>
      </c>
      <c r="E17" s="304"/>
      <c r="F17" s="305"/>
      <c r="G17" s="27" t="s">
        <v>8</v>
      </c>
      <c r="H17" s="18" t="s">
        <v>87</v>
      </c>
      <c r="I17" s="28">
        <f>'DADOS '!A18</f>
        <v>176055.57</v>
      </c>
      <c r="J17" s="212">
        <v>6.38</v>
      </c>
      <c r="K17" s="22">
        <f t="shared" si="0"/>
        <v>1123234.5366</v>
      </c>
      <c r="L17" s="1"/>
      <c r="M17" s="1"/>
    </row>
    <row r="18" spans="1:15" ht="20.25" customHeight="1">
      <c r="A18" s="261" t="s">
        <v>230</v>
      </c>
      <c r="B18" s="262"/>
      <c r="C18" s="262"/>
      <c r="D18" s="262"/>
      <c r="E18" s="262"/>
      <c r="F18" s="262"/>
      <c r="G18" s="262"/>
      <c r="H18" s="262"/>
      <c r="I18" s="262"/>
      <c r="J18" s="263"/>
      <c r="K18" s="22">
        <f>SUM(K9:K17)</f>
        <v>6234105.5775000006</v>
      </c>
      <c r="L18" s="1"/>
      <c r="M18" s="1"/>
    </row>
    <row r="19" spans="1:15" ht="35" customHeight="1">
      <c r="A19" s="4" t="s">
        <v>27</v>
      </c>
      <c r="B19" s="21" t="s">
        <v>2</v>
      </c>
      <c r="C19" s="21" t="s">
        <v>3</v>
      </c>
      <c r="D19" s="270" t="s">
        <v>13</v>
      </c>
      <c r="E19" s="270"/>
      <c r="F19" s="270"/>
      <c r="G19" s="21" t="s">
        <v>4</v>
      </c>
      <c r="H19" s="21" t="s">
        <v>5</v>
      </c>
      <c r="I19" s="29" t="s">
        <v>6</v>
      </c>
      <c r="J19" s="29" t="s">
        <v>15</v>
      </c>
      <c r="K19" s="21" t="s">
        <v>16</v>
      </c>
      <c r="L19" s="1"/>
      <c r="M19" s="1"/>
    </row>
    <row r="20" spans="1:15" ht="35" customHeight="1">
      <c r="A20" s="43" t="s">
        <v>1</v>
      </c>
      <c r="B20" s="17" t="s">
        <v>186</v>
      </c>
      <c r="C20" s="17">
        <v>40310</v>
      </c>
      <c r="D20" s="240" t="s">
        <v>191</v>
      </c>
      <c r="E20" s="240"/>
      <c r="F20" s="240"/>
      <c r="G20" s="17" t="s">
        <v>7</v>
      </c>
      <c r="H20" s="18" t="s">
        <v>161</v>
      </c>
      <c r="I20" s="30">
        <f>'DADOS '!A8*'DADOS '!F8</f>
        <v>128273.04</v>
      </c>
      <c r="J20" s="207">
        <v>2.88</v>
      </c>
      <c r="K20" s="22">
        <f>I20*J20</f>
        <v>369426.35519999999</v>
      </c>
      <c r="L20" s="19"/>
      <c r="M20" s="1"/>
    </row>
    <row r="21" spans="1:15" ht="35" customHeight="1">
      <c r="A21" s="43" t="s">
        <v>26</v>
      </c>
      <c r="B21" s="17" t="s">
        <v>186</v>
      </c>
      <c r="C21" s="17">
        <v>40316</v>
      </c>
      <c r="D21" s="240" t="s">
        <v>192</v>
      </c>
      <c r="E21" s="240"/>
      <c r="F21" s="240"/>
      <c r="G21" s="17" t="s">
        <v>8</v>
      </c>
      <c r="H21" s="17" t="s">
        <v>159</v>
      </c>
      <c r="I21" s="35">
        <f>'DADOS '!A8*'DADOS '!F14*'DADOS '!A12</f>
        <v>45811.8</v>
      </c>
      <c r="J21" s="207">
        <v>11.49</v>
      </c>
      <c r="K21" s="22">
        <f>I21*J21</f>
        <v>526377.58200000005</v>
      </c>
      <c r="L21" s="20"/>
      <c r="N21" t="s">
        <v>9</v>
      </c>
    </row>
    <row r="22" spans="1:15" ht="35" customHeight="1">
      <c r="A22" s="43" t="s">
        <v>31</v>
      </c>
      <c r="B22" s="17" t="s">
        <v>186</v>
      </c>
      <c r="C22" s="17">
        <v>40320</v>
      </c>
      <c r="D22" s="240" t="s">
        <v>193</v>
      </c>
      <c r="E22" s="240"/>
      <c r="F22" s="240"/>
      <c r="G22" s="17" t="s">
        <v>10</v>
      </c>
      <c r="H22" s="18" t="s">
        <v>162</v>
      </c>
      <c r="I22" s="30">
        <f>I21*'DADOS '!F10*'DADOS '!C12</f>
        <v>687177</v>
      </c>
      <c r="J22" s="207">
        <v>3.04</v>
      </c>
      <c r="K22" s="22">
        <f t="shared" si="0"/>
        <v>2089018.08</v>
      </c>
      <c r="L22" s="1"/>
      <c r="M22" s="1"/>
    </row>
    <row r="23" spans="1:15" ht="35" customHeight="1">
      <c r="A23" s="43" t="s">
        <v>175</v>
      </c>
      <c r="B23" s="17" t="s">
        <v>186</v>
      </c>
      <c r="C23" s="17">
        <v>40336</v>
      </c>
      <c r="D23" s="255" t="s">
        <v>199</v>
      </c>
      <c r="E23" s="256"/>
      <c r="F23" s="257"/>
      <c r="G23" s="17" t="s">
        <v>8</v>
      </c>
      <c r="H23" s="17" t="s">
        <v>163</v>
      </c>
      <c r="I23" s="30">
        <f>I21</f>
        <v>45811.8</v>
      </c>
      <c r="J23" s="207">
        <v>20.2</v>
      </c>
      <c r="K23" s="22">
        <f t="shared" si="0"/>
        <v>925398.36</v>
      </c>
      <c r="L23" s="1"/>
      <c r="M23" s="1"/>
    </row>
    <row r="24" spans="1:15" ht="35" customHeight="1">
      <c r="A24" s="43" t="s">
        <v>176</v>
      </c>
      <c r="B24" s="17" t="s">
        <v>186</v>
      </c>
      <c r="C24" s="17">
        <v>40380</v>
      </c>
      <c r="D24" s="240" t="s">
        <v>194</v>
      </c>
      <c r="E24" s="240"/>
      <c r="F24" s="240"/>
      <c r="G24" s="17" t="s">
        <v>7</v>
      </c>
      <c r="H24" s="17" t="s">
        <v>164</v>
      </c>
      <c r="I24" s="30">
        <f>'DADOS '!A8*'DADOS '!E8</f>
        <v>105367.14</v>
      </c>
      <c r="J24" s="207">
        <v>0.5</v>
      </c>
      <c r="K24" s="22">
        <f t="shared" si="0"/>
        <v>52683.57</v>
      </c>
      <c r="L24" s="1"/>
      <c r="M24" s="1"/>
    </row>
    <row r="25" spans="1:15" ht="35" customHeight="1">
      <c r="A25" s="43" t="s">
        <v>177</v>
      </c>
      <c r="B25" s="17" t="s">
        <v>186</v>
      </c>
      <c r="C25" s="17">
        <v>40385</v>
      </c>
      <c r="D25" s="240" t="s">
        <v>195</v>
      </c>
      <c r="E25" s="240"/>
      <c r="F25" s="240"/>
      <c r="G25" s="17" t="s">
        <v>7</v>
      </c>
      <c r="H25" s="17" t="s">
        <v>165</v>
      </c>
      <c r="I25" s="30">
        <f>'DADOS '!A8*'DADOS '!B8</f>
        <v>103076.55</v>
      </c>
      <c r="J25" s="207">
        <v>0.49</v>
      </c>
      <c r="K25" s="22">
        <f t="shared" si="0"/>
        <v>50507.5095</v>
      </c>
      <c r="L25" s="1" t="s">
        <v>9</v>
      </c>
      <c r="M25" s="1"/>
    </row>
    <row r="26" spans="1:15" ht="35" customHeight="1">
      <c r="A26" s="43" t="s">
        <v>178</v>
      </c>
      <c r="B26" s="17" t="s">
        <v>186</v>
      </c>
      <c r="C26" s="17">
        <v>40602</v>
      </c>
      <c r="D26" s="240" t="s">
        <v>196</v>
      </c>
      <c r="E26" s="240"/>
      <c r="F26" s="240"/>
      <c r="G26" s="17" t="s">
        <v>8</v>
      </c>
      <c r="H26" s="17" t="s">
        <v>95</v>
      </c>
      <c r="I26" s="30">
        <f>99587.45*0.03</f>
        <v>2987.6234999999997</v>
      </c>
      <c r="J26" s="207">
        <v>468.6</v>
      </c>
      <c r="K26" s="22">
        <f t="shared" si="0"/>
        <v>1400000.3721</v>
      </c>
      <c r="L26" s="1"/>
      <c r="M26" s="1"/>
    </row>
    <row r="27" spans="1:15" ht="35" customHeight="1">
      <c r="A27" s="43" t="s">
        <v>179</v>
      </c>
      <c r="B27" s="17" t="s">
        <v>186</v>
      </c>
      <c r="C27" s="17">
        <v>40460</v>
      </c>
      <c r="D27" s="255" t="s">
        <v>197</v>
      </c>
      <c r="E27" s="256"/>
      <c r="F27" s="257"/>
      <c r="G27" s="17" t="s">
        <v>11</v>
      </c>
      <c r="H27" s="17" t="s">
        <v>166</v>
      </c>
      <c r="I27" s="30">
        <f>I26*'DADOS '!A14*'DADOS '!B14</f>
        <v>255143.04689999996</v>
      </c>
      <c r="J27" s="207">
        <v>0.99</v>
      </c>
      <c r="K27" s="22">
        <f t="shared" si="0"/>
        <v>252591.61643099994</v>
      </c>
      <c r="L27" s="1"/>
      <c r="M27" s="1"/>
    </row>
    <row r="28" spans="1:15" ht="35" customHeight="1">
      <c r="A28" s="43" t="s">
        <v>180</v>
      </c>
      <c r="B28" s="17" t="s">
        <v>186</v>
      </c>
      <c r="C28" s="17">
        <v>40455</v>
      </c>
      <c r="D28" s="255" t="s">
        <v>198</v>
      </c>
      <c r="E28" s="256"/>
      <c r="F28" s="257"/>
      <c r="G28" s="17" t="s">
        <v>10</v>
      </c>
      <c r="H28" s="17" t="s">
        <v>167</v>
      </c>
      <c r="I28" s="30">
        <f>((I26*'DADOS '!A14*'DADOS '!D14)/'DADOS '!E14)*'DADOS '!C14</f>
        <v>140189.12816934855</v>
      </c>
      <c r="J28" s="207">
        <v>1.49</v>
      </c>
      <c r="K28" s="22">
        <f t="shared" si="0"/>
        <v>208881.80097232934</v>
      </c>
      <c r="L28" s="1"/>
      <c r="M28" s="1"/>
      <c r="O28" t="s">
        <v>9</v>
      </c>
    </row>
    <row r="29" spans="1:15" ht="35" customHeight="1">
      <c r="A29" s="43" t="s">
        <v>212</v>
      </c>
      <c r="B29" s="17" t="s">
        <v>186</v>
      </c>
      <c r="C29" s="17">
        <v>44450</v>
      </c>
      <c r="D29" s="255" t="s">
        <v>81</v>
      </c>
      <c r="E29" s="256"/>
      <c r="F29" s="257"/>
      <c r="G29" s="17" t="s">
        <v>12</v>
      </c>
      <c r="H29" s="17" t="s">
        <v>95</v>
      </c>
      <c r="I29" s="30">
        <f>'DADOS '!F12</f>
        <v>11452.95</v>
      </c>
      <c r="J29" s="207">
        <v>10.47</v>
      </c>
      <c r="K29" s="22">
        <f t="shared" si="0"/>
        <v>119912.38650000001</v>
      </c>
      <c r="L29" s="1"/>
      <c r="M29" s="1"/>
    </row>
    <row r="30" spans="1:15" ht="35" customHeight="1">
      <c r="A30" s="43" t="s">
        <v>213</v>
      </c>
      <c r="B30" s="17" t="s">
        <v>186</v>
      </c>
      <c r="C30" s="17">
        <v>44455</v>
      </c>
      <c r="D30" s="240" t="s">
        <v>17</v>
      </c>
      <c r="E30" s="240"/>
      <c r="F30" s="240"/>
      <c r="G30" s="17" t="s">
        <v>12</v>
      </c>
      <c r="H30" s="17" t="s">
        <v>95</v>
      </c>
      <c r="I30" s="30">
        <f>'DADOS '!E16</f>
        <v>11452.95</v>
      </c>
      <c r="J30" s="207">
        <v>33.61</v>
      </c>
      <c r="K30" s="22">
        <f>I30*J30</f>
        <v>384933.6495</v>
      </c>
      <c r="L30" s="1"/>
      <c r="M30" s="1"/>
    </row>
    <row r="31" spans="1:15" ht="24" customHeight="1">
      <c r="A31" s="261" t="s">
        <v>230</v>
      </c>
      <c r="B31" s="262"/>
      <c r="C31" s="262"/>
      <c r="D31" s="262"/>
      <c r="E31" s="262"/>
      <c r="F31" s="262"/>
      <c r="G31" s="262"/>
      <c r="H31" s="262"/>
      <c r="I31" s="262"/>
      <c r="J31" s="263"/>
      <c r="K31" s="14">
        <f>SUM(K20:K30)</f>
        <v>6379731.2822033297</v>
      </c>
      <c r="L31" s="1"/>
      <c r="M31" s="1"/>
    </row>
    <row r="32" spans="1:15" ht="35" customHeight="1">
      <c r="A32" s="4" t="s">
        <v>171</v>
      </c>
      <c r="B32" s="21" t="s">
        <v>2</v>
      </c>
      <c r="C32" s="21" t="s">
        <v>3</v>
      </c>
      <c r="D32" s="270" t="s">
        <v>214</v>
      </c>
      <c r="E32" s="270"/>
      <c r="F32" s="270"/>
      <c r="G32" s="21" t="s">
        <v>4</v>
      </c>
      <c r="H32" s="21" t="s">
        <v>5</v>
      </c>
      <c r="I32" s="29" t="s">
        <v>6</v>
      </c>
      <c r="J32" s="29" t="s">
        <v>15</v>
      </c>
      <c r="K32" s="21" t="s">
        <v>16</v>
      </c>
      <c r="L32" s="1"/>
      <c r="M32" s="1"/>
    </row>
    <row r="33" spans="1:13" ht="35" customHeight="1">
      <c r="A33" s="17" t="s">
        <v>172</v>
      </c>
      <c r="B33" s="17" t="s">
        <v>186</v>
      </c>
      <c r="C33" s="23">
        <v>45410</v>
      </c>
      <c r="D33" s="292" t="s">
        <v>155</v>
      </c>
      <c r="E33" s="293"/>
      <c r="F33" s="294"/>
      <c r="G33" s="23" t="s">
        <v>8</v>
      </c>
      <c r="H33" s="23" t="s">
        <v>311</v>
      </c>
      <c r="I33" s="35">
        <f>2*2*I35</f>
        <v>400</v>
      </c>
      <c r="J33" s="36">
        <v>13.01</v>
      </c>
      <c r="K33" s="22">
        <f>I33*J33</f>
        <v>5204</v>
      </c>
      <c r="L33" s="1"/>
      <c r="M33" s="1"/>
    </row>
    <row r="34" spans="1:13" ht="35" customHeight="1">
      <c r="A34" s="17" t="s">
        <v>173</v>
      </c>
      <c r="B34" s="17" t="s">
        <v>186</v>
      </c>
      <c r="C34" s="23">
        <v>45580</v>
      </c>
      <c r="D34" s="292" t="s">
        <v>157</v>
      </c>
      <c r="E34" s="293"/>
      <c r="F34" s="294"/>
      <c r="G34" s="23" t="s">
        <v>8</v>
      </c>
      <c r="H34" s="23" t="s">
        <v>312</v>
      </c>
      <c r="I34" s="35">
        <f>2*0.1*I35</f>
        <v>20</v>
      </c>
      <c r="J34" s="36">
        <v>193.13</v>
      </c>
      <c r="K34" s="22">
        <f t="shared" ref="K34:K37" si="1">I34*J34</f>
        <v>3862.6</v>
      </c>
      <c r="L34" s="1"/>
      <c r="M34" s="1"/>
    </row>
    <row r="35" spans="1:13" ht="35" customHeight="1">
      <c r="A35" s="17" t="s">
        <v>174</v>
      </c>
      <c r="B35" s="17" t="s">
        <v>186</v>
      </c>
      <c r="C35" s="23">
        <v>45455</v>
      </c>
      <c r="D35" s="285" t="s">
        <v>154</v>
      </c>
      <c r="E35" s="286"/>
      <c r="F35" s="287"/>
      <c r="G35" s="23" t="s">
        <v>12</v>
      </c>
      <c r="H35" s="23" t="s">
        <v>95</v>
      </c>
      <c r="I35" s="35">
        <v>100</v>
      </c>
      <c r="J35" s="36">
        <v>942.92</v>
      </c>
      <c r="K35" s="22">
        <f t="shared" si="1"/>
        <v>94292</v>
      </c>
      <c r="L35" s="1"/>
      <c r="M35" s="1"/>
    </row>
    <row r="36" spans="1:13" ht="35" customHeight="1">
      <c r="A36" s="17" t="s">
        <v>215</v>
      </c>
      <c r="B36" s="17" t="s">
        <v>186</v>
      </c>
      <c r="C36" s="23">
        <v>45435</v>
      </c>
      <c r="D36" s="285" t="s">
        <v>156</v>
      </c>
      <c r="E36" s="286"/>
      <c r="F36" s="287"/>
      <c r="G36" s="23" t="s">
        <v>8</v>
      </c>
      <c r="H36" s="23" t="s">
        <v>313</v>
      </c>
      <c r="I36" s="35">
        <f>I35*2*1</f>
        <v>200</v>
      </c>
      <c r="J36" s="36">
        <v>13.24</v>
      </c>
      <c r="K36" s="22">
        <f t="shared" si="1"/>
        <v>2648</v>
      </c>
      <c r="L36" s="1"/>
      <c r="M36" s="1"/>
    </row>
    <row r="37" spans="1:13" ht="35" customHeight="1">
      <c r="A37" s="17" t="s">
        <v>216</v>
      </c>
      <c r="B37" s="17" t="s">
        <v>186</v>
      </c>
      <c r="C37" s="23">
        <v>41856</v>
      </c>
      <c r="D37" s="292" t="s">
        <v>153</v>
      </c>
      <c r="E37" s="293"/>
      <c r="F37" s="294"/>
      <c r="G37" s="23" t="s">
        <v>4</v>
      </c>
      <c r="H37" s="23" t="s">
        <v>95</v>
      </c>
      <c r="I37" s="35">
        <v>10</v>
      </c>
      <c r="J37" s="36">
        <v>1313.43</v>
      </c>
      <c r="K37" s="22">
        <f t="shared" si="1"/>
        <v>13134.300000000001</v>
      </c>
      <c r="L37" s="1"/>
      <c r="M37" s="1"/>
    </row>
    <row r="38" spans="1:13" ht="35" customHeight="1">
      <c r="A38" s="17" t="s">
        <v>289</v>
      </c>
      <c r="B38" s="17" t="s">
        <v>186</v>
      </c>
      <c r="C38" s="23">
        <v>41385</v>
      </c>
      <c r="D38" s="292" t="s">
        <v>150</v>
      </c>
      <c r="E38" s="293"/>
      <c r="F38" s="294"/>
      <c r="G38" s="23" t="s">
        <v>4</v>
      </c>
      <c r="H38" s="23" t="s">
        <v>95</v>
      </c>
      <c r="I38" s="35">
        <v>42</v>
      </c>
      <c r="J38" s="36">
        <v>65.930000000000007</v>
      </c>
      <c r="K38" s="22">
        <f>I38*J38</f>
        <v>2769.0600000000004</v>
      </c>
      <c r="L38" s="1"/>
      <c r="M38" s="1"/>
    </row>
    <row r="39" spans="1:13" ht="35" customHeight="1">
      <c r="A39" s="17" t="s">
        <v>217</v>
      </c>
      <c r="B39" s="17" t="s">
        <v>186</v>
      </c>
      <c r="C39" s="23">
        <v>41372</v>
      </c>
      <c r="D39" s="288" t="s">
        <v>149</v>
      </c>
      <c r="E39" s="288"/>
      <c r="F39" s="288"/>
      <c r="G39" s="23" t="s">
        <v>4</v>
      </c>
      <c r="H39" s="23" t="s">
        <v>95</v>
      </c>
      <c r="I39" s="35">
        <v>47</v>
      </c>
      <c r="J39" s="36">
        <v>497.72</v>
      </c>
      <c r="K39" s="22">
        <f>I39*J39</f>
        <v>23392.84</v>
      </c>
      <c r="L39" s="1"/>
      <c r="M39" s="1"/>
    </row>
    <row r="40" spans="1:13" s="1" customFormat="1" ht="35" customHeight="1">
      <c r="A40" s="17" t="s">
        <v>218</v>
      </c>
      <c r="B40" s="17" t="s">
        <v>186</v>
      </c>
      <c r="C40" s="23">
        <v>41414</v>
      </c>
      <c r="D40" s="285" t="s">
        <v>94</v>
      </c>
      <c r="E40" s="286"/>
      <c r="F40" s="287"/>
      <c r="G40" s="23" t="s">
        <v>12</v>
      </c>
      <c r="H40" s="23" t="s">
        <v>95</v>
      </c>
      <c r="I40" s="35">
        <v>290</v>
      </c>
      <c r="J40" s="36">
        <v>110.44</v>
      </c>
      <c r="K40" s="22">
        <f>I40*J40</f>
        <v>32027.599999999999</v>
      </c>
    </row>
    <row r="41" spans="1:13" ht="35" customHeight="1">
      <c r="A41" s="261" t="s">
        <v>230</v>
      </c>
      <c r="B41" s="262"/>
      <c r="C41" s="262"/>
      <c r="D41" s="262"/>
      <c r="E41" s="262"/>
      <c r="F41" s="262"/>
      <c r="G41" s="262"/>
      <c r="H41" s="262"/>
      <c r="I41" s="262"/>
      <c r="J41" s="263"/>
      <c r="K41" s="45">
        <f>SUM(K33:K40)</f>
        <v>177330.40000000002</v>
      </c>
      <c r="L41" s="1"/>
      <c r="M41" s="1"/>
    </row>
    <row r="42" spans="1:13" ht="35" customHeight="1">
      <c r="A42" s="4" t="s">
        <v>145</v>
      </c>
      <c r="B42" s="21" t="s">
        <v>2</v>
      </c>
      <c r="C42" s="21" t="s">
        <v>3</v>
      </c>
      <c r="D42" s="270" t="s">
        <v>220</v>
      </c>
      <c r="E42" s="270"/>
      <c r="F42" s="270"/>
      <c r="G42" s="21" t="s">
        <v>4</v>
      </c>
      <c r="H42" s="21" t="s">
        <v>5</v>
      </c>
      <c r="I42" s="29" t="s">
        <v>6</v>
      </c>
      <c r="J42" s="29" t="s">
        <v>15</v>
      </c>
      <c r="K42" s="21" t="s">
        <v>16</v>
      </c>
      <c r="L42" s="1"/>
      <c r="M42" s="1"/>
    </row>
    <row r="43" spans="1:13" ht="35" customHeight="1">
      <c r="A43" s="17" t="s">
        <v>146</v>
      </c>
      <c r="B43" s="17" t="s">
        <v>186</v>
      </c>
      <c r="C43" s="23">
        <v>40810</v>
      </c>
      <c r="D43" s="288" t="s">
        <v>221</v>
      </c>
      <c r="E43" s="288"/>
      <c r="F43" s="288"/>
      <c r="G43" s="23" t="s">
        <v>12</v>
      </c>
      <c r="H43" s="23" t="s">
        <v>95</v>
      </c>
      <c r="I43" s="35">
        <f>900</f>
        <v>900</v>
      </c>
      <c r="J43" s="36">
        <v>631.4</v>
      </c>
      <c r="K43" s="22">
        <f>I43*J43</f>
        <v>568260</v>
      </c>
      <c r="L43" s="1"/>
      <c r="M43" s="1"/>
    </row>
    <row r="44" spans="1:13" ht="35" customHeight="1">
      <c r="A44" s="17" t="s">
        <v>147</v>
      </c>
      <c r="B44" s="17" t="s">
        <v>186</v>
      </c>
      <c r="C44" s="23">
        <v>40451</v>
      </c>
      <c r="D44" s="285" t="s">
        <v>222</v>
      </c>
      <c r="E44" s="286"/>
      <c r="F44" s="287"/>
      <c r="G44" s="23" t="s">
        <v>223</v>
      </c>
      <c r="H44" s="23" t="s">
        <v>95</v>
      </c>
      <c r="I44" s="35">
        <f>(I43*19.5/1000)*712</f>
        <v>12495.6</v>
      </c>
      <c r="J44" s="36">
        <v>0.83</v>
      </c>
      <c r="K44" s="22">
        <f>I44*J44</f>
        <v>10371.348</v>
      </c>
      <c r="L44" s="1"/>
      <c r="M44" s="1"/>
    </row>
    <row r="45" spans="1:13" ht="35" customHeight="1">
      <c r="A45" s="17" t="s">
        <v>304</v>
      </c>
      <c r="B45" s="17" t="s">
        <v>186</v>
      </c>
      <c r="C45" s="23">
        <v>40890</v>
      </c>
      <c r="D45" s="285" t="s">
        <v>306</v>
      </c>
      <c r="E45" s="286"/>
      <c r="F45" s="287"/>
      <c r="G45" s="23" t="s">
        <v>7</v>
      </c>
      <c r="H45" s="23" t="s">
        <v>95</v>
      </c>
      <c r="I45" s="35">
        <v>8030.45</v>
      </c>
      <c r="J45" s="36">
        <v>8.4600000000000009</v>
      </c>
      <c r="K45" s="22">
        <f>I45*J45</f>
        <v>67937.607000000004</v>
      </c>
      <c r="L45" s="1"/>
      <c r="M45" s="1"/>
    </row>
    <row r="46" spans="1:13" ht="24" customHeight="1">
      <c r="A46" s="261" t="s">
        <v>230</v>
      </c>
      <c r="B46" s="262"/>
      <c r="C46" s="262"/>
      <c r="D46" s="262"/>
      <c r="E46" s="262"/>
      <c r="F46" s="262"/>
      <c r="G46" s="262"/>
      <c r="H46" s="262"/>
      <c r="I46" s="262"/>
      <c r="J46" s="263"/>
      <c r="K46" s="45">
        <f>SUM(K43:K45)</f>
        <v>646568.95499999996</v>
      </c>
      <c r="L46" s="1"/>
      <c r="M46" s="1"/>
    </row>
    <row r="47" spans="1:13" ht="35" customHeight="1">
      <c r="A47" s="4" t="s">
        <v>239</v>
      </c>
      <c r="B47" s="21" t="s">
        <v>2</v>
      </c>
      <c r="C47" s="21" t="s">
        <v>3</v>
      </c>
      <c r="D47" s="258" t="s">
        <v>23</v>
      </c>
      <c r="E47" s="259"/>
      <c r="F47" s="260"/>
      <c r="G47" s="21" t="s">
        <v>4</v>
      </c>
      <c r="H47" s="21" t="s">
        <v>5</v>
      </c>
      <c r="I47" s="29" t="s">
        <v>6</v>
      </c>
      <c r="J47" s="29" t="s">
        <v>15</v>
      </c>
      <c r="K47" s="5" t="s">
        <v>16</v>
      </c>
      <c r="L47" s="1"/>
      <c r="M47" s="1"/>
    </row>
    <row r="48" spans="1:13" ht="35" customHeight="1">
      <c r="A48" s="17" t="s">
        <v>240</v>
      </c>
      <c r="B48" s="17" t="s">
        <v>18</v>
      </c>
      <c r="C48" s="17" t="s">
        <v>19</v>
      </c>
      <c r="D48" s="255" t="s">
        <v>88</v>
      </c>
      <c r="E48" s="256"/>
      <c r="F48" s="257"/>
      <c r="G48" s="17" t="s">
        <v>55</v>
      </c>
      <c r="H48" s="17" t="s">
        <v>168</v>
      </c>
      <c r="I48" s="30">
        <f>TRUNC(I24*'DADOS '!B16/1000,2)</f>
        <v>105.36</v>
      </c>
      <c r="J48" s="207">
        <f>'PRODUTOS BETUMINOSOS'!I39</f>
        <v>4226.5571303895767</v>
      </c>
      <c r="K48" s="22">
        <f>I48*J48</f>
        <v>445310.0592578458</v>
      </c>
      <c r="L48" s="1"/>
      <c r="M48" s="1"/>
    </row>
    <row r="49" spans="1:13" ht="35" customHeight="1">
      <c r="A49" s="17" t="s">
        <v>241</v>
      </c>
      <c r="B49" s="17" t="s">
        <v>18</v>
      </c>
      <c r="C49" s="17" t="s">
        <v>19</v>
      </c>
      <c r="D49" s="255" t="s">
        <v>25</v>
      </c>
      <c r="E49" s="256"/>
      <c r="F49" s="257"/>
      <c r="G49" s="17" t="s">
        <v>55</v>
      </c>
      <c r="H49" s="17" t="s">
        <v>169</v>
      </c>
      <c r="I49" s="30">
        <f>TRUNC(I25*'DADOS '!C16/1000,2)</f>
        <v>51.53</v>
      </c>
      <c r="J49" s="207">
        <f>'PRODUTOS BETUMINOSOS'!I40</f>
        <v>4720.8551303895774</v>
      </c>
      <c r="K49" s="22">
        <f t="shared" ref="K49" si="2">I49*J49</f>
        <v>243265.66486897494</v>
      </c>
      <c r="L49" s="1"/>
      <c r="M49" s="1"/>
    </row>
    <row r="50" spans="1:13" ht="35" customHeight="1">
      <c r="A50" s="17" t="s">
        <v>242</v>
      </c>
      <c r="B50" s="17" t="s">
        <v>18</v>
      </c>
      <c r="C50" s="17" t="s">
        <v>19</v>
      </c>
      <c r="D50" s="255" t="s">
        <v>24</v>
      </c>
      <c r="E50" s="256"/>
      <c r="F50" s="257"/>
      <c r="G50" s="17" t="s">
        <v>55</v>
      </c>
      <c r="H50" s="17" t="s">
        <v>170</v>
      </c>
      <c r="I50" s="30">
        <f>TRUNC(I26*'DADOS '!A14*'DADOS '!D16,2)</f>
        <v>379.06</v>
      </c>
      <c r="J50" s="207">
        <f>'PRODUTOS BETUMINOSOS'!I41</f>
        <v>5834.1316327992163</v>
      </c>
      <c r="K50" s="22">
        <f>I50*J50</f>
        <v>2211485.936728871</v>
      </c>
      <c r="L50" s="1"/>
      <c r="M50" s="1"/>
    </row>
    <row r="51" spans="1:13" ht="23.25" customHeight="1">
      <c r="A51" s="261" t="s">
        <v>230</v>
      </c>
      <c r="B51" s="262"/>
      <c r="C51" s="262"/>
      <c r="D51" s="262"/>
      <c r="E51" s="262"/>
      <c r="F51" s="262"/>
      <c r="G51" s="262"/>
      <c r="H51" s="262"/>
      <c r="I51" s="262"/>
      <c r="J51" s="263"/>
      <c r="K51" s="14">
        <f>SUM(K48:K50)</f>
        <v>2900061.6608556919</v>
      </c>
      <c r="L51" s="1"/>
      <c r="M51" s="1"/>
    </row>
    <row r="52" spans="1:13" ht="35" customHeight="1">
      <c r="A52" s="4" t="s">
        <v>243</v>
      </c>
      <c r="B52" s="21" t="s">
        <v>2</v>
      </c>
      <c r="C52" s="21" t="s">
        <v>3</v>
      </c>
      <c r="D52" s="258" t="s">
        <v>248</v>
      </c>
      <c r="E52" s="259"/>
      <c r="F52" s="260"/>
      <c r="G52" s="21" t="s">
        <v>4</v>
      </c>
      <c r="H52" s="21" t="s">
        <v>5</v>
      </c>
      <c r="I52" s="29" t="s">
        <v>6</v>
      </c>
      <c r="J52" s="29" t="s">
        <v>15</v>
      </c>
      <c r="K52" s="5" t="s">
        <v>16</v>
      </c>
      <c r="L52" s="1"/>
      <c r="M52" s="1"/>
    </row>
    <row r="53" spans="1:13" ht="35" customHeight="1">
      <c r="A53" s="17" t="s">
        <v>244</v>
      </c>
      <c r="B53" s="17" t="s">
        <v>186</v>
      </c>
      <c r="C53" s="51" t="s">
        <v>226</v>
      </c>
      <c r="D53" s="255" t="s">
        <v>249</v>
      </c>
      <c r="E53" s="256"/>
      <c r="F53" s="257"/>
      <c r="G53" s="17" t="s">
        <v>4</v>
      </c>
      <c r="H53" s="17" t="s">
        <v>251</v>
      </c>
      <c r="I53" s="30">
        <f>1</f>
        <v>1</v>
      </c>
      <c r="J53" s="207">
        <f>'MOBILIZAÇÃO EQUIPAMENTOS'!F31</f>
        <v>99372.313200000004</v>
      </c>
      <c r="K53" s="22">
        <f>I53*J53</f>
        <v>99372.313200000004</v>
      </c>
      <c r="L53" s="1"/>
      <c r="M53" s="1"/>
    </row>
    <row r="54" spans="1:13" ht="35" customHeight="1">
      <c r="A54" s="17" t="s">
        <v>245</v>
      </c>
      <c r="B54" s="17" t="s">
        <v>186</v>
      </c>
      <c r="C54" s="51" t="s">
        <v>227</v>
      </c>
      <c r="D54" s="255" t="s">
        <v>250</v>
      </c>
      <c r="E54" s="256"/>
      <c r="F54" s="257"/>
      <c r="G54" s="17" t="s">
        <v>4</v>
      </c>
      <c r="H54" s="17" t="s">
        <v>251</v>
      </c>
      <c r="I54" s="30">
        <f>1</f>
        <v>1</v>
      </c>
      <c r="J54" s="207">
        <f>'CANTEIRO DE OBRAS'!E23</f>
        <v>115399.22636100001</v>
      </c>
      <c r="K54" s="22">
        <f>I54*J54</f>
        <v>115399.22636100001</v>
      </c>
      <c r="L54" s="1"/>
      <c r="M54" s="1"/>
    </row>
    <row r="55" spans="1:13" ht="24.75" customHeight="1">
      <c r="A55" s="261" t="s">
        <v>230</v>
      </c>
      <c r="B55" s="262"/>
      <c r="C55" s="262"/>
      <c r="D55" s="262"/>
      <c r="E55" s="262"/>
      <c r="F55" s="262"/>
      <c r="G55" s="262"/>
      <c r="H55" s="262"/>
      <c r="I55" s="262"/>
      <c r="J55" s="263"/>
      <c r="K55" s="14">
        <f>SUM(K53:K54)</f>
        <v>214771.53956100001</v>
      </c>
      <c r="L55" s="1"/>
      <c r="M55" s="1"/>
    </row>
    <row r="56" spans="1:13" ht="35" customHeight="1">
      <c r="A56" s="4" t="s">
        <v>246</v>
      </c>
      <c r="B56" s="21" t="s">
        <v>2</v>
      </c>
      <c r="C56" s="21" t="s">
        <v>3</v>
      </c>
      <c r="D56" s="258" t="s">
        <v>253</v>
      </c>
      <c r="E56" s="259"/>
      <c r="F56" s="260"/>
      <c r="G56" s="21" t="s">
        <v>4</v>
      </c>
      <c r="H56" s="21" t="s">
        <v>5</v>
      </c>
      <c r="I56" s="29" t="s">
        <v>6</v>
      </c>
      <c r="J56" s="29" t="s">
        <v>15</v>
      </c>
      <c r="K56" s="5" t="s">
        <v>16</v>
      </c>
      <c r="L56" s="1"/>
      <c r="M56" s="1"/>
    </row>
    <row r="57" spans="1:13" ht="35" customHeight="1">
      <c r="A57" s="17" t="s">
        <v>247</v>
      </c>
      <c r="B57" s="17" t="s">
        <v>186</v>
      </c>
      <c r="C57" s="51" t="s">
        <v>229</v>
      </c>
      <c r="D57" s="255" t="s">
        <v>253</v>
      </c>
      <c r="E57" s="256"/>
      <c r="F57" s="257"/>
      <c r="G57" s="17" t="s">
        <v>4</v>
      </c>
      <c r="H57" s="17" t="s">
        <v>251</v>
      </c>
      <c r="I57" s="30">
        <f>6</f>
        <v>6</v>
      </c>
      <c r="J57" s="207">
        <f>'ADMINISTRAÇÃO LOCAL'!E29</f>
        <v>90606.418046999999</v>
      </c>
      <c r="K57" s="22">
        <f>I57*J57</f>
        <v>543638.50828199997</v>
      </c>
      <c r="L57" s="1"/>
      <c r="M57" s="1"/>
    </row>
    <row r="58" spans="1:13" ht="24.75" customHeight="1">
      <c r="A58" s="261" t="s">
        <v>230</v>
      </c>
      <c r="B58" s="262"/>
      <c r="C58" s="262"/>
      <c r="D58" s="262"/>
      <c r="E58" s="262"/>
      <c r="F58" s="262"/>
      <c r="G58" s="262"/>
      <c r="H58" s="262"/>
      <c r="I58" s="262"/>
      <c r="J58" s="263"/>
      <c r="K58" s="14">
        <f>SUM(K57)</f>
        <v>543638.50828199997</v>
      </c>
      <c r="L58" s="1"/>
      <c r="M58" s="1"/>
    </row>
    <row r="59" spans="1:13" ht="35" customHeight="1">
      <c r="A59" s="58"/>
      <c r="B59" s="59"/>
      <c r="C59" s="289"/>
      <c r="D59" s="289"/>
      <c r="E59" s="289"/>
      <c r="F59" s="289"/>
      <c r="G59" s="267"/>
      <c r="H59" s="267"/>
      <c r="I59" s="264" t="s">
        <v>254</v>
      </c>
      <c r="J59" s="265"/>
      <c r="K59" s="266"/>
      <c r="L59" s="1"/>
      <c r="M59" s="1"/>
    </row>
    <row r="60" spans="1:13" ht="35" customHeight="1">
      <c r="A60" s="291" t="s">
        <v>206</v>
      </c>
      <c r="B60" s="291"/>
      <c r="C60" s="291"/>
      <c r="D60" s="291"/>
      <c r="E60" s="291"/>
      <c r="F60" s="291"/>
      <c r="G60" s="267"/>
      <c r="H60" s="267"/>
      <c r="I60" s="290" t="s">
        <v>152</v>
      </c>
      <c r="J60" s="290"/>
      <c r="K60" s="44">
        <f>F61/('DADOS '!A8*'DADOS '!B8)</f>
        <v>165.85933389701171</v>
      </c>
      <c r="L60" s="1"/>
      <c r="M60" s="1"/>
    </row>
    <row r="61" spans="1:13" ht="35" customHeight="1">
      <c r="A61" s="237" t="s">
        <v>30</v>
      </c>
      <c r="B61" s="237"/>
      <c r="C61" s="237"/>
      <c r="D61" s="237"/>
      <c r="E61" s="237"/>
      <c r="F61" s="9">
        <f>K18+K31+K41+K46+K51+K55+K58</f>
        <v>17096207.923402023</v>
      </c>
      <c r="G61" s="267"/>
      <c r="H61" s="267"/>
      <c r="I61" s="298" t="s">
        <v>151</v>
      </c>
      <c r="J61" s="298"/>
      <c r="K61" s="45">
        <f>F61/('DADOS '!A8/1000)</f>
        <v>1492734.0050731052</v>
      </c>
      <c r="L61" s="1"/>
      <c r="M61" s="1"/>
    </row>
    <row r="62" spans="1:13" ht="9" customHeight="1">
      <c r="A62" s="295"/>
      <c r="B62" s="295"/>
      <c r="C62" s="295"/>
      <c r="D62" s="295"/>
      <c r="E62" s="295"/>
      <c r="F62" s="295"/>
      <c r="G62" s="296"/>
      <c r="H62" s="296"/>
      <c r="I62" s="32"/>
      <c r="J62" s="213"/>
      <c r="K62" s="42"/>
      <c r="L62" s="1"/>
      <c r="M62" s="1"/>
    </row>
    <row r="63" spans="1:13" ht="8.25" customHeight="1">
      <c r="A63" s="226" t="s">
        <v>288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1"/>
    </row>
    <row r="64" spans="1:13" ht="21" customHeight="1">
      <c r="A64" s="226" t="s">
        <v>83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1"/>
    </row>
    <row r="65" spans="1:15" ht="24.75" customHeight="1">
      <c r="A65" s="226" t="s">
        <v>84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1"/>
    </row>
    <row r="66" spans="1:15" ht="35" customHeight="1">
      <c r="A66" s="1"/>
      <c r="B66" s="1"/>
      <c r="C66" s="1"/>
    </row>
    <row r="67" spans="1:15" ht="35" customHeight="1">
      <c r="H67" t="s">
        <v>9</v>
      </c>
    </row>
    <row r="68" spans="1:15" ht="3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</row>
    <row r="69" spans="1:15" ht="23.2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5" ht="33.75" customHeight="1"/>
    <row r="71" spans="1:15" ht="17.25" customHeight="1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16"/>
      <c r="N71" s="16"/>
      <c r="O71" s="16"/>
    </row>
    <row r="72" spans="1:15" ht="15" customHeight="1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</row>
    <row r="73" spans="1:15">
      <c r="A73" s="226"/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</row>
    <row r="74" spans="1:15" ht="15" customHeight="1">
      <c r="A74" s="1"/>
      <c r="B74" s="1"/>
      <c r="C74" s="1"/>
    </row>
    <row r="76" spans="1:15" ht="15" customHeight="1">
      <c r="A76" s="1"/>
      <c r="B76" s="1"/>
      <c r="C76" s="1"/>
    </row>
    <row r="78" spans="1:15" ht="15" customHeight="1"/>
    <row r="79" spans="1:15">
      <c r="A79" s="2"/>
      <c r="B79" s="2"/>
      <c r="C79" s="2"/>
    </row>
    <row r="80" spans="1:15">
      <c r="A80" s="1"/>
      <c r="B80" s="1"/>
      <c r="C80" s="1"/>
    </row>
    <row r="81" spans="1:3">
      <c r="A81" s="1"/>
      <c r="B81" s="1"/>
      <c r="C81" s="1"/>
    </row>
    <row r="83" spans="1:3">
      <c r="A83" s="1"/>
      <c r="B83" s="1"/>
      <c r="C83" s="1"/>
    </row>
    <row r="86" spans="1:3">
      <c r="A86" s="2"/>
      <c r="B86" s="2"/>
      <c r="C86" s="2"/>
    </row>
    <row r="87" spans="1:3">
      <c r="A87" s="1"/>
      <c r="B87" s="1"/>
      <c r="C87" s="1"/>
    </row>
    <row r="88" spans="1:3">
      <c r="A88" s="1"/>
      <c r="B88" s="1"/>
      <c r="C88" s="1"/>
    </row>
    <row r="90" spans="1:3">
      <c r="A90" s="1"/>
      <c r="B90" s="1"/>
      <c r="C90" s="1"/>
    </row>
    <row r="93" spans="1:3">
      <c r="A93" s="2"/>
      <c r="B93" s="2"/>
      <c r="C93" s="2"/>
    </row>
    <row r="94" spans="1:3">
      <c r="A94" s="1"/>
      <c r="B94" s="1"/>
      <c r="C94" s="1"/>
    </row>
    <row r="95" spans="1:3">
      <c r="A95" s="1"/>
      <c r="B95" s="1"/>
      <c r="C95" s="1"/>
    </row>
    <row r="97" spans="1:3">
      <c r="A97" s="1"/>
      <c r="B97" s="1"/>
      <c r="C97" s="1"/>
    </row>
    <row r="100" spans="1:3">
      <c r="A100" s="2"/>
      <c r="B100" s="2"/>
      <c r="C100" s="2"/>
    </row>
    <row r="101" spans="1:3">
      <c r="A101" s="1"/>
      <c r="B101" s="1"/>
      <c r="C101" s="1"/>
    </row>
    <row r="102" spans="1:3">
      <c r="A102" s="1"/>
      <c r="B102" s="1"/>
      <c r="C102" s="1"/>
    </row>
    <row r="104" spans="1:3">
      <c r="A104" s="1"/>
      <c r="B104" s="1"/>
      <c r="C104" s="1"/>
    </row>
    <row r="107" spans="1:3">
      <c r="A107" s="2"/>
      <c r="B107" s="2"/>
      <c r="C107" s="2"/>
    </row>
    <row r="108" spans="1:3">
      <c r="A108" s="1"/>
      <c r="B108" s="1"/>
      <c r="C108" s="1"/>
    </row>
    <row r="109" spans="1:3">
      <c r="A109" s="1"/>
      <c r="B109" s="1"/>
      <c r="C109" s="1"/>
    </row>
    <row r="111" spans="1:3">
      <c r="A111" s="1"/>
      <c r="B111" s="1"/>
      <c r="C111" s="1"/>
    </row>
    <row r="114" spans="1:3">
      <c r="A114" s="2"/>
      <c r="B114" s="2"/>
      <c r="C114" s="2"/>
    </row>
    <row r="115" spans="1:3">
      <c r="A115" s="1"/>
      <c r="B115" s="1"/>
      <c r="C115" s="1"/>
    </row>
    <row r="116" spans="1:3">
      <c r="A116" s="1"/>
      <c r="B116" s="1"/>
      <c r="C116" s="1"/>
    </row>
    <row r="118" spans="1:3">
      <c r="A118" s="1"/>
      <c r="B118" s="1"/>
      <c r="C118" s="1"/>
    </row>
    <row r="121" spans="1:3">
      <c r="A121" s="2"/>
      <c r="B121" s="2"/>
      <c r="C121" s="2"/>
    </row>
    <row r="122" spans="1:3">
      <c r="A122" s="1"/>
      <c r="B122" s="1"/>
      <c r="C122" s="1"/>
    </row>
    <row r="123" spans="1:3">
      <c r="A123" s="1"/>
      <c r="B123" s="1"/>
      <c r="C123" s="1"/>
    </row>
    <row r="125" spans="1:3">
      <c r="A125" s="1"/>
      <c r="B125" s="1"/>
      <c r="C125" s="1"/>
    </row>
    <row r="128" spans="1:3">
      <c r="A128" s="2"/>
      <c r="B128" s="2"/>
      <c r="C128" s="2"/>
    </row>
    <row r="129" spans="1:3">
      <c r="A129" s="1"/>
      <c r="B129" s="1"/>
      <c r="C129" s="1"/>
    </row>
    <row r="130" spans="1:3">
      <c r="A130" s="1"/>
      <c r="B130" s="1"/>
      <c r="C130" s="1"/>
    </row>
    <row r="132" spans="1:3">
      <c r="A132" s="1"/>
      <c r="B132" s="1"/>
      <c r="C132" s="1"/>
    </row>
    <row r="135" spans="1:3">
      <c r="A135" s="2"/>
      <c r="B135" s="2"/>
      <c r="C135" s="2"/>
    </row>
    <row r="136" spans="1:3">
      <c r="A136" s="1"/>
      <c r="B136" s="1"/>
      <c r="C136" s="1"/>
    </row>
    <row r="137" spans="1:3">
      <c r="A137" s="1"/>
      <c r="B137" s="1"/>
      <c r="C137" s="1"/>
    </row>
    <row r="139" spans="1:3">
      <c r="A139" s="1"/>
      <c r="B139" s="1"/>
      <c r="C139" s="1"/>
    </row>
    <row r="142" spans="1:3">
      <c r="A142" s="2"/>
      <c r="B142" s="2"/>
      <c r="C142" s="2"/>
    </row>
    <row r="143" spans="1:3">
      <c r="A143" s="1"/>
      <c r="B143" s="1"/>
      <c r="C143" s="1"/>
    </row>
    <row r="144" spans="1:3">
      <c r="A144" s="1"/>
      <c r="B144" s="1"/>
      <c r="C144" s="1"/>
    </row>
    <row r="146" spans="1:3">
      <c r="A146" s="1"/>
      <c r="B146" s="1"/>
      <c r="C146" s="1"/>
    </row>
    <row r="149" spans="1:3">
      <c r="A149" s="2"/>
      <c r="B149" s="2"/>
      <c r="C149" s="2"/>
    </row>
    <row r="150" spans="1:3">
      <c r="A150" s="1"/>
      <c r="B150" s="1"/>
      <c r="C150" s="1"/>
    </row>
    <row r="151" spans="1:3">
      <c r="A151" s="1"/>
      <c r="B151" s="1"/>
      <c r="C151" s="1"/>
    </row>
    <row r="153" spans="1:3">
      <c r="A153" s="1"/>
      <c r="B153" s="1"/>
      <c r="C153" s="1"/>
    </row>
    <row r="156" spans="1:3">
      <c r="A156" s="2"/>
      <c r="B156" s="2"/>
      <c r="C156" s="2"/>
    </row>
    <row r="157" spans="1:3">
      <c r="A157" s="1"/>
      <c r="B157" s="1"/>
      <c r="C157" s="1"/>
    </row>
    <row r="158" spans="1:3">
      <c r="A158" s="1"/>
      <c r="B158" s="1"/>
      <c r="C158" s="1"/>
    </row>
    <row r="160" spans="1:3">
      <c r="A160" s="1"/>
      <c r="B160" s="1"/>
      <c r="C160" s="1"/>
    </row>
    <row r="163" spans="1:3">
      <c r="A163" s="2"/>
      <c r="B163" s="2"/>
      <c r="C163" s="2"/>
    </row>
    <row r="164" spans="1:3">
      <c r="A164" s="1"/>
      <c r="B164" s="1"/>
      <c r="C164" s="1"/>
    </row>
    <row r="165" spans="1:3">
      <c r="A165" s="1"/>
      <c r="B165" s="1"/>
      <c r="C165" s="1"/>
    </row>
    <row r="167" spans="1:3">
      <c r="A167" s="1"/>
      <c r="B167" s="1"/>
      <c r="C167" s="1"/>
    </row>
    <row r="170" spans="1:3">
      <c r="A170" s="2"/>
      <c r="B170" s="2"/>
      <c r="C170" s="2"/>
    </row>
    <row r="171" spans="1:3">
      <c r="A171" s="1"/>
      <c r="B171" s="1"/>
      <c r="C171" s="1"/>
    </row>
    <row r="172" spans="1:3">
      <c r="A172" s="1"/>
      <c r="B172" s="1"/>
      <c r="C172" s="1"/>
    </row>
    <row r="174" spans="1:3">
      <c r="A174" s="1"/>
      <c r="B174" s="1"/>
      <c r="C174" s="1"/>
    </row>
    <row r="177" spans="1:3">
      <c r="A177" s="2"/>
      <c r="B177" s="2"/>
      <c r="C177" s="2"/>
    </row>
    <row r="178" spans="1:3">
      <c r="A178" s="1"/>
      <c r="B178" s="1"/>
      <c r="C178" s="1"/>
    </row>
    <row r="179" spans="1:3">
      <c r="A179" s="1"/>
      <c r="B179" s="1"/>
      <c r="C179" s="1"/>
    </row>
    <row r="181" spans="1:3">
      <c r="A181" s="1"/>
      <c r="B181" s="1"/>
      <c r="C181" s="1"/>
    </row>
    <row r="184" spans="1:3">
      <c r="A184" s="2"/>
      <c r="B184" s="2"/>
      <c r="C184" s="2"/>
    </row>
    <row r="185" spans="1:3">
      <c r="A185" s="1"/>
      <c r="B185" s="1"/>
      <c r="C185" s="1"/>
    </row>
    <row r="186" spans="1:3">
      <c r="A186" s="1"/>
      <c r="B186" s="1"/>
      <c r="C186" s="1"/>
    </row>
    <row r="188" spans="1:3">
      <c r="A188" s="1"/>
      <c r="B188" s="1"/>
      <c r="C188" s="1"/>
    </row>
    <row r="191" spans="1:3">
      <c r="A191" s="2"/>
      <c r="B191" s="2"/>
      <c r="C191" s="2"/>
    </row>
    <row r="192" spans="1:3">
      <c r="A192" s="1"/>
      <c r="B192" s="1"/>
      <c r="C192" s="1"/>
    </row>
    <row r="193" spans="1:3">
      <c r="A193" s="1"/>
      <c r="B193" s="1"/>
      <c r="C193" s="1"/>
    </row>
    <row r="195" spans="1:3">
      <c r="A195" s="1"/>
      <c r="B195" s="1"/>
      <c r="C195" s="1"/>
    </row>
    <row r="198" spans="1:3">
      <c r="A198" s="2"/>
      <c r="B198" s="2"/>
      <c r="C198" s="2"/>
    </row>
    <row r="199" spans="1:3">
      <c r="A199" s="1"/>
      <c r="B199" s="1"/>
      <c r="C199" s="1"/>
    </row>
    <row r="200" spans="1:3">
      <c r="A200" s="1"/>
      <c r="B200" s="1"/>
      <c r="C200" s="1"/>
    </row>
    <row r="202" spans="1:3">
      <c r="A202" s="1"/>
      <c r="B202" s="1"/>
      <c r="C202" s="1"/>
    </row>
    <row r="205" spans="1:3">
      <c r="A205" s="2"/>
      <c r="B205" s="2"/>
      <c r="C205" s="2"/>
    </row>
    <row r="206" spans="1:3">
      <c r="A206" s="1"/>
      <c r="B206" s="1"/>
      <c r="C206" s="1"/>
    </row>
    <row r="207" spans="1:3">
      <c r="A207" s="1"/>
      <c r="B207" s="1"/>
      <c r="C207" s="1"/>
    </row>
    <row r="209" spans="1:3">
      <c r="A209" s="1"/>
      <c r="B209" s="1"/>
      <c r="C209" s="1"/>
    </row>
    <row r="212" spans="1:3">
      <c r="A212" s="2"/>
      <c r="B212" s="2"/>
      <c r="C212" s="2"/>
    </row>
    <row r="213" spans="1:3">
      <c r="A213" s="1"/>
      <c r="B213" s="1"/>
      <c r="C213" s="1"/>
    </row>
    <row r="214" spans="1:3">
      <c r="A214" s="1"/>
      <c r="B214" s="1"/>
      <c r="C214" s="1"/>
    </row>
    <row r="216" spans="1:3">
      <c r="A216" s="1"/>
      <c r="B216" s="1"/>
      <c r="C216" s="1"/>
    </row>
    <row r="219" spans="1:3">
      <c r="A219" s="2"/>
      <c r="B219" s="2"/>
      <c r="C219" s="2"/>
    </row>
    <row r="220" spans="1:3">
      <c r="A220" s="1"/>
      <c r="B220" s="1"/>
      <c r="C220" s="1"/>
    </row>
    <row r="221" spans="1:3">
      <c r="A221" s="1"/>
      <c r="B221" s="1"/>
      <c r="C221" s="1"/>
    </row>
    <row r="223" spans="1:3">
      <c r="A223" s="1"/>
      <c r="B223" s="1"/>
      <c r="C223" s="1"/>
    </row>
    <row r="226" spans="1:3">
      <c r="A226" s="2"/>
      <c r="B226" s="2"/>
      <c r="C226" s="2"/>
    </row>
    <row r="227" spans="1:3">
      <c r="A227" s="1"/>
      <c r="B227" s="1"/>
      <c r="C227" s="1"/>
    </row>
    <row r="228" spans="1:3">
      <c r="A228" s="1"/>
      <c r="B228" s="1"/>
      <c r="C228" s="1"/>
    </row>
    <row r="230" spans="1:3">
      <c r="A230" s="1"/>
      <c r="B230" s="1"/>
      <c r="C230" s="1"/>
    </row>
    <row r="233" spans="1:3">
      <c r="A233" s="2"/>
      <c r="B233" s="2"/>
      <c r="C233" s="2"/>
    </row>
    <row r="234" spans="1:3">
      <c r="A234" s="1"/>
      <c r="B234" s="1"/>
      <c r="C234" s="1"/>
    </row>
    <row r="235" spans="1:3">
      <c r="A235" s="1"/>
      <c r="B235" s="1"/>
      <c r="C235" s="1"/>
    </row>
    <row r="237" spans="1:3">
      <c r="A237" s="1"/>
      <c r="B237" s="1"/>
      <c r="C237" s="1"/>
    </row>
    <row r="240" spans="1:3">
      <c r="A240" s="2"/>
      <c r="B240" s="2"/>
      <c r="C240" s="2"/>
    </row>
    <row r="241" spans="1:3">
      <c r="A241" s="1"/>
      <c r="B241" s="1"/>
      <c r="C241" s="1"/>
    </row>
    <row r="242" spans="1:3">
      <c r="A242" s="1"/>
      <c r="B242" s="1"/>
      <c r="C242" s="1"/>
    </row>
    <row r="244" spans="1:3">
      <c r="A244" s="1"/>
      <c r="B244" s="1"/>
      <c r="C244" s="1"/>
    </row>
    <row r="247" spans="1:3">
      <c r="A247" s="2"/>
      <c r="B247" s="2"/>
      <c r="C247" s="2"/>
    </row>
    <row r="248" spans="1:3">
      <c r="A248" s="1"/>
      <c r="B248" s="1"/>
      <c r="C248" s="1"/>
    </row>
    <row r="249" spans="1:3">
      <c r="A249" s="1"/>
      <c r="B249" s="1"/>
      <c r="C249" s="1"/>
    </row>
    <row r="251" spans="1:3">
      <c r="A251" s="1"/>
      <c r="B251" s="1"/>
      <c r="C251" s="1"/>
    </row>
    <row r="254" spans="1:3">
      <c r="A254" s="2"/>
      <c r="B254" s="2"/>
      <c r="C254" s="2"/>
    </row>
    <row r="255" spans="1:3">
      <c r="A255" s="1"/>
      <c r="B255" s="1"/>
      <c r="C255" s="1"/>
    </row>
    <row r="256" spans="1:3">
      <c r="A256" s="1"/>
      <c r="B256" s="1"/>
      <c r="C256" s="1"/>
    </row>
    <row r="258" spans="1:3">
      <c r="A258" s="1"/>
      <c r="B258" s="1"/>
      <c r="C258" s="1"/>
    </row>
    <row r="261" spans="1:3">
      <c r="A261" s="2"/>
      <c r="B261" s="2"/>
      <c r="C261" s="2"/>
    </row>
    <row r="262" spans="1:3">
      <c r="A262" s="1"/>
      <c r="B262" s="1"/>
      <c r="C262" s="1"/>
    </row>
    <row r="263" spans="1:3">
      <c r="A263" s="1"/>
      <c r="B263" s="1"/>
      <c r="C263" s="1"/>
    </row>
    <row r="265" spans="1:3">
      <c r="A265" s="1"/>
      <c r="B265" s="1"/>
      <c r="C265" s="1"/>
    </row>
    <row r="268" spans="1:3">
      <c r="A268" s="2"/>
      <c r="B268" s="2"/>
      <c r="C268" s="2"/>
    </row>
    <row r="269" spans="1:3">
      <c r="A269" s="1"/>
      <c r="B269" s="1"/>
      <c r="C269" s="1"/>
    </row>
    <row r="270" spans="1:3">
      <c r="A270" s="1"/>
      <c r="B270" s="1"/>
      <c r="C270" s="1"/>
    </row>
    <row r="272" spans="1:3">
      <c r="A272" s="1"/>
      <c r="B272" s="1"/>
      <c r="C272" s="1"/>
    </row>
    <row r="275" spans="1:3">
      <c r="A275" s="1"/>
      <c r="B275" s="1"/>
      <c r="C275" s="1"/>
    </row>
    <row r="278" spans="1:3">
      <c r="A278" s="2"/>
      <c r="B278" s="2"/>
      <c r="C278" s="2"/>
    </row>
    <row r="279" spans="1:3">
      <c r="A279" s="1"/>
      <c r="B279" s="1"/>
      <c r="C279" s="1"/>
    </row>
    <row r="280" spans="1:3">
      <c r="A280" s="1"/>
      <c r="B280" s="1"/>
      <c r="C280" s="1"/>
    </row>
    <row r="282" spans="1:3">
      <c r="A282" s="1"/>
      <c r="B282" s="1"/>
      <c r="C282" s="1"/>
    </row>
    <row r="285" spans="1:3">
      <c r="A285" s="2"/>
      <c r="B285" s="2"/>
      <c r="C285" s="2"/>
    </row>
    <row r="286" spans="1:3">
      <c r="A286" s="1"/>
      <c r="B286" s="1"/>
      <c r="C286" s="1"/>
    </row>
    <row r="287" spans="1:3">
      <c r="A287" s="1"/>
      <c r="B287" s="1"/>
      <c r="C287" s="1"/>
    </row>
    <row r="289" spans="1:3">
      <c r="A289" s="1"/>
      <c r="B289" s="1"/>
      <c r="C289" s="1"/>
    </row>
    <row r="292" spans="1:3">
      <c r="A292" s="2"/>
      <c r="B292" s="2"/>
      <c r="C292" s="2"/>
    </row>
    <row r="293" spans="1:3">
      <c r="A293" s="1"/>
      <c r="B293" s="1"/>
      <c r="C293" s="1"/>
    </row>
    <row r="294" spans="1:3">
      <c r="A294" s="1"/>
      <c r="B294" s="1"/>
      <c r="C294" s="1"/>
    </row>
    <row r="296" spans="1:3">
      <c r="A296" s="1"/>
      <c r="B296" s="1"/>
      <c r="C296" s="1"/>
    </row>
    <row r="299" spans="1:3">
      <c r="A299" s="2"/>
      <c r="B299" s="2"/>
      <c r="C299" s="2"/>
    </row>
    <row r="300" spans="1:3">
      <c r="A300" s="1"/>
      <c r="B300" s="1"/>
      <c r="C300" s="1"/>
    </row>
    <row r="301" spans="1:3">
      <c r="A301" s="1"/>
      <c r="B301" s="1"/>
      <c r="C301" s="1"/>
    </row>
    <row r="303" spans="1:3">
      <c r="A303" s="1"/>
      <c r="B303" s="1"/>
      <c r="C303" s="1"/>
    </row>
    <row r="306" spans="1:3">
      <c r="A306" s="2"/>
      <c r="B306" s="2"/>
      <c r="C306" s="2"/>
    </row>
    <row r="307" spans="1:3">
      <c r="A307" s="1"/>
      <c r="B307" s="1"/>
      <c r="C307" s="1"/>
    </row>
    <row r="308" spans="1:3">
      <c r="A308" s="1"/>
      <c r="B308" s="1"/>
      <c r="C308" s="1"/>
    </row>
    <row r="310" spans="1:3">
      <c r="A310" s="1"/>
      <c r="B310" s="1"/>
      <c r="C310" s="1"/>
    </row>
    <row r="313" spans="1:3">
      <c r="A313" s="2"/>
      <c r="B313" s="2"/>
      <c r="C313" s="2"/>
    </row>
    <row r="314" spans="1:3">
      <c r="A314" s="1"/>
      <c r="B314" s="1"/>
      <c r="C314" s="1"/>
    </row>
    <row r="315" spans="1:3">
      <c r="A315" s="1"/>
      <c r="B315" s="1"/>
      <c r="C315" s="1"/>
    </row>
    <row r="317" spans="1:3">
      <c r="A317" s="1"/>
      <c r="B317" s="1"/>
      <c r="C317" s="1"/>
    </row>
    <row r="320" spans="1:3">
      <c r="A320" s="2"/>
      <c r="B320" s="2"/>
      <c r="C320" s="2"/>
    </row>
    <row r="321" spans="1:3">
      <c r="A321" s="1"/>
      <c r="B321" s="1"/>
      <c r="C321" s="1"/>
    </row>
    <row r="322" spans="1:3">
      <c r="A322" s="1"/>
      <c r="B322" s="1"/>
      <c r="C322" s="1"/>
    </row>
    <row r="324" spans="1:3">
      <c r="A324" s="1"/>
      <c r="B324" s="1"/>
      <c r="C324" s="1"/>
    </row>
    <row r="327" spans="1:3">
      <c r="A327" s="2"/>
      <c r="B327" s="2"/>
      <c r="C327" s="2"/>
    </row>
    <row r="328" spans="1:3">
      <c r="A328" s="1"/>
      <c r="B328" s="1"/>
      <c r="C328" s="1"/>
    </row>
    <row r="329" spans="1:3">
      <c r="A329" s="1"/>
      <c r="B329" s="1"/>
      <c r="C329" s="1"/>
    </row>
    <row r="331" spans="1:3">
      <c r="A331" s="1"/>
      <c r="B331" s="1"/>
      <c r="C331" s="1"/>
    </row>
    <row r="334" spans="1:3">
      <c r="A334" s="2"/>
      <c r="B334" s="2"/>
      <c r="C334" s="2"/>
    </row>
    <row r="335" spans="1:3">
      <c r="A335" s="1"/>
      <c r="B335" s="1"/>
      <c r="C335" s="1"/>
    </row>
    <row r="336" spans="1:3">
      <c r="A336" s="1"/>
      <c r="B336" s="1"/>
      <c r="C336" s="1"/>
    </row>
    <row r="338" spans="1:3">
      <c r="A338" s="1"/>
      <c r="B338" s="1"/>
      <c r="C338" s="1"/>
    </row>
    <row r="341" spans="1:3">
      <c r="A341" s="2"/>
      <c r="B341" s="2"/>
      <c r="C341" s="2"/>
    </row>
    <row r="342" spans="1:3">
      <c r="A342" s="1"/>
      <c r="B342" s="1"/>
      <c r="C342" s="1"/>
    </row>
    <row r="343" spans="1:3">
      <c r="A343" s="1"/>
      <c r="B343" s="1"/>
      <c r="C343" s="1"/>
    </row>
    <row r="345" spans="1:3">
      <c r="A345" s="1"/>
      <c r="B345" s="1"/>
      <c r="C345" s="1"/>
    </row>
    <row r="348" spans="1:3">
      <c r="A348" s="2"/>
      <c r="B348" s="2"/>
      <c r="C348" s="2"/>
    </row>
    <row r="349" spans="1:3">
      <c r="A349" s="1"/>
      <c r="B349" s="1"/>
      <c r="C349" s="1"/>
    </row>
    <row r="350" spans="1:3">
      <c r="A350" s="1"/>
      <c r="B350" s="1"/>
      <c r="C350" s="1"/>
    </row>
    <row r="352" spans="1:3">
      <c r="A352" s="1"/>
      <c r="B352" s="1"/>
      <c r="C352" s="1"/>
    </row>
    <row r="355" spans="1:3">
      <c r="A355" s="2"/>
      <c r="B355" s="2"/>
      <c r="C355" s="2"/>
    </row>
    <row r="356" spans="1:3">
      <c r="A356" s="1"/>
      <c r="B356" s="1"/>
      <c r="C356" s="1"/>
    </row>
    <row r="357" spans="1:3">
      <c r="A357" s="1"/>
      <c r="B357" s="1"/>
      <c r="C357" s="1"/>
    </row>
    <row r="359" spans="1:3">
      <c r="A359" s="1"/>
      <c r="B359" s="1"/>
      <c r="C359" s="1"/>
    </row>
    <row r="362" spans="1:3">
      <c r="A362" s="2"/>
      <c r="B362" s="2"/>
      <c r="C362" s="2"/>
    </row>
    <row r="363" spans="1:3">
      <c r="A363" s="1"/>
      <c r="B363" s="1"/>
      <c r="C363" s="1"/>
    </row>
    <row r="364" spans="1:3">
      <c r="A364" s="1"/>
      <c r="B364" s="1"/>
      <c r="C364" s="1"/>
    </row>
    <row r="366" spans="1:3">
      <c r="A366" s="1"/>
      <c r="B366" s="1"/>
      <c r="C366" s="1"/>
    </row>
    <row r="369" spans="1:3">
      <c r="A369" s="2"/>
      <c r="B369" s="2"/>
      <c r="C369" s="2"/>
    </row>
    <row r="370" spans="1:3">
      <c r="A370" s="1"/>
      <c r="B370" s="1"/>
      <c r="C370" s="1"/>
    </row>
    <row r="371" spans="1:3">
      <c r="A371" s="1"/>
      <c r="B371" s="1"/>
      <c r="C371" s="1"/>
    </row>
    <row r="373" spans="1:3">
      <c r="A373" s="1"/>
      <c r="B373" s="1"/>
      <c r="C373" s="1"/>
    </row>
    <row r="376" spans="1:3">
      <c r="A376" s="2"/>
      <c r="B376" s="2"/>
      <c r="C376" s="2"/>
    </row>
    <row r="377" spans="1:3">
      <c r="A377" s="1"/>
      <c r="B377" s="1"/>
      <c r="C377" s="1"/>
    </row>
    <row r="378" spans="1:3">
      <c r="A378" s="1"/>
      <c r="B378" s="1"/>
      <c r="C378" s="1"/>
    </row>
    <row r="380" spans="1:3">
      <c r="A380" s="1"/>
      <c r="B380" s="1"/>
      <c r="C380" s="1"/>
    </row>
    <row r="383" spans="1:3">
      <c r="A383" s="2"/>
      <c r="B383" s="2"/>
      <c r="C383" s="2"/>
    </row>
    <row r="384" spans="1:3">
      <c r="A384" s="1"/>
      <c r="B384" s="1"/>
      <c r="C384" s="1"/>
    </row>
    <row r="385" spans="1:3">
      <c r="A385" s="1"/>
      <c r="B385" s="1"/>
      <c r="C385" s="1"/>
    </row>
    <row r="387" spans="1:3">
      <c r="A387" s="1"/>
      <c r="B387" s="1"/>
      <c r="C387" s="1"/>
    </row>
    <row r="390" spans="1:3">
      <c r="A390" s="2"/>
      <c r="B390" s="2"/>
      <c r="C390" s="2"/>
    </row>
    <row r="391" spans="1:3">
      <c r="A391" s="1"/>
      <c r="B391" s="1"/>
      <c r="C391" s="1"/>
    </row>
    <row r="392" spans="1:3">
      <c r="A392" s="1"/>
      <c r="B392" s="1"/>
      <c r="C392" s="1"/>
    </row>
    <row r="394" spans="1:3">
      <c r="A394" s="1"/>
      <c r="B394" s="1"/>
      <c r="C394" s="1"/>
    </row>
    <row r="397" spans="1:3">
      <c r="A397" s="2"/>
      <c r="B397" s="2"/>
      <c r="C397" s="2"/>
    </row>
    <row r="398" spans="1:3">
      <c r="A398" s="1"/>
      <c r="B398" s="1"/>
      <c r="C398" s="1"/>
    </row>
    <row r="399" spans="1:3">
      <c r="A399" s="1"/>
      <c r="B399" s="1"/>
      <c r="C399" s="1"/>
    </row>
    <row r="401" spans="1:3">
      <c r="A401" s="1"/>
      <c r="B401" s="1"/>
      <c r="C401" s="1"/>
    </row>
    <row r="404" spans="1:3">
      <c r="A404" s="2"/>
      <c r="B404" s="2"/>
      <c r="C404" s="2"/>
    </row>
    <row r="405" spans="1:3">
      <c r="A405" s="1"/>
      <c r="B405" s="1"/>
      <c r="C405" s="1"/>
    </row>
    <row r="406" spans="1:3">
      <c r="A406" s="1"/>
      <c r="B406" s="1"/>
      <c r="C406" s="1"/>
    </row>
    <row r="408" spans="1:3">
      <c r="A408" s="1"/>
      <c r="B408" s="1"/>
      <c r="C408" s="1"/>
    </row>
    <row r="411" spans="1:3">
      <c r="A411" s="2"/>
      <c r="B411" s="2"/>
      <c r="C411" s="2"/>
    </row>
    <row r="412" spans="1:3">
      <c r="A412" s="1"/>
      <c r="B412" s="1"/>
      <c r="C412" s="1"/>
    </row>
    <row r="413" spans="1:3">
      <c r="A413" s="1"/>
      <c r="B413" s="1"/>
      <c r="C413" s="1"/>
    </row>
    <row r="415" spans="1:3">
      <c r="A415" s="1"/>
      <c r="B415" s="1"/>
      <c r="C415" s="1"/>
    </row>
    <row r="418" spans="1:3">
      <c r="A418" s="2"/>
      <c r="B418" s="2"/>
      <c r="C418" s="2"/>
    </row>
    <row r="419" spans="1:3">
      <c r="A419" s="1"/>
      <c r="B419" s="1"/>
      <c r="C419" s="1"/>
    </row>
    <row r="420" spans="1:3">
      <c r="A420" s="1"/>
      <c r="B420" s="1"/>
      <c r="C420" s="1"/>
    </row>
    <row r="422" spans="1:3">
      <c r="A422" s="1"/>
      <c r="B422" s="1"/>
      <c r="C422" s="1"/>
    </row>
    <row r="425" spans="1:3">
      <c r="A425" s="2"/>
      <c r="B425" s="2"/>
      <c r="C425" s="2"/>
    </row>
    <row r="426" spans="1:3">
      <c r="A426" s="1"/>
      <c r="B426" s="1"/>
      <c r="C426" s="1"/>
    </row>
    <row r="427" spans="1:3">
      <c r="A427" s="1"/>
      <c r="B427" s="1"/>
      <c r="C427" s="1"/>
    </row>
    <row r="429" spans="1:3">
      <c r="A429" s="1"/>
      <c r="B429" s="1"/>
      <c r="C429" s="1"/>
    </row>
    <row r="432" spans="1:3">
      <c r="A432" s="2"/>
      <c r="B432" s="2"/>
      <c r="C432" s="2"/>
    </row>
    <row r="433" spans="1:3">
      <c r="A433" s="1"/>
      <c r="B433" s="1"/>
      <c r="C433" s="1"/>
    </row>
    <row r="434" spans="1:3">
      <c r="A434" s="1"/>
      <c r="B434" s="1"/>
      <c r="C434" s="1"/>
    </row>
    <row r="436" spans="1:3">
      <c r="A436" s="1"/>
      <c r="B436" s="1"/>
      <c r="C436" s="1"/>
    </row>
    <row r="439" spans="1:3">
      <c r="A439" s="2"/>
      <c r="B439" s="2"/>
      <c r="C439" s="2"/>
    </row>
    <row r="440" spans="1:3">
      <c r="A440" s="1"/>
      <c r="B440" s="1"/>
      <c r="C440" s="1"/>
    </row>
    <row r="441" spans="1:3">
      <c r="A441" s="1"/>
      <c r="B441" s="1"/>
      <c r="C441" s="1"/>
    </row>
    <row r="443" spans="1:3">
      <c r="A443" s="1"/>
      <c r="B443" s="1"/>
      <c r="C443" s="1"/>
    </row>
    <row r="446" spans="1:3">
      <c r="A446" s="2"/>
      <c r="B446" s="2"/>
      <c r="C446" s="2"/>
    </row>
    <row r="447" spans="1:3">
      <c r="A447" s="1"/>
      <c r="B447" s="1"/>
      <c r="C447" s="1"/>
    </row>
    <row r="448" spans="1:3">
      <c r="A448" s="1"/>
      <c r="B448" s="1"/>
      <c r="C448" s="1"/>
    </row>
    <row r="450" spans="1:3">
      <c r="A450" s="1"/>
      <c r="B450" s="1"/>
      <c r="C450" s="1"/>
    </row>
    <row r="453" spans="1:3">
      <c r="A453" s="2"/>
      <c r="B453" s="2"/>
      <c r="C453" s="2"/>
    </row>
    <row r="454" spans="1:3">
      <c r="A454" s="1"/>
      <c r="B454" s="1"/>
      <c r="C454" s="1"/>
    </row>
    <row r="455" spans="1:3">
      <c r="A455" s="1"/>
      <c r="B455" s="1"/>
      <c r="C455" s="1"/>
    </row>
    <row r="457" spans="1:3">
      <c r="A457" s="1"/>
      <c r="B457" s="1"/>
      <c r="C457" s="1"/>
    </row>
    <row r="460" spans="1:3">
      <c r="A460" s="2"/>
      <c r="B460" s="2"/>
      <c r="C460" s="2"/>
    </row>
    <row r="461" spans="1:3">
      <c r="A461" s="1"/>
      <c r="B461" s="1"/>
      <c r="C461" s="1"/>
    </row>
    <row r="462" spans="1:3">
      <c r="A462" s="1"/>
      <c r="B462" s="1"/>
      <c r="C462" s="1"/>
    </row>
    <row r="464" spans="1:3">
      <c r="A464" s="1"/>
      <c r="B464" s="1"/>
      <c r="C464" s="1"/>
    </row>
    <row r="467" spans="1:3">
      <c r="A467" s="2"/>
      <c r="B467" s="2"/>
      <c r="C467" s="2"/>
    </row>
    <row r="468" spans="1:3">
      <c r="A468" s="1"/>
      <c r="B468" s="1"/>
      <c r="C468" s="1"/>
    </row>
    <row r="469" spans="1:3">
      <c r="A469" s="1"/>
      <c r="B469" s="1"/>
      <c r="C469" s="1"/>
    </row>
    <row r="471" spans="1:3">
      <c r="A471" s="1"/>
      <c r="B471" s="1"/>
      <c r="C471" s="1"/>
    </row>
    <row r="474" spans="1:3">
      <c r="A474" s="2"/>
      <c r="B474" s="2"/>
      <c r="C474" s="2"/>
    </row>
    <row r="475" spans="1:3">
      <c r="A475" s="1"/>
      <c r="B475" s="1"/>
      <c r="C475" s="1"/>
    </row>
    <row r="476" spans="1:3">
      <c r="A476" s="1"/>
      <c r="B476" s="1"/>
      <c r="C476" s="1"/>
    </row>
    <row r="478" spans="1:3">
      <c r="A478" s="1"/>
      <c r="B478" s="1"/>
      <c r="C478" s="1"/>
    </row>
    <row r="481" spans="1:3">
      <c r="A481" s="2"/>
      <c r="B481" s="2"/>
      <c r="C481" s="2"/>
    </row>
    <row r="482" spans="1:3">
      <c r="A482" s="1"/>
      <c r="B482" s="1"/>
      <c r="C482" s="1"/>
    </row>
    <row r="483" spans="1:3">
      <c r="A483" s="1"/>
      <c r="B483" s="1"/>
      <c r="C483" s="1"/>
    </row>
    <row r="485" spans="1:3">
      <c r="A485" s="1"/>
      <c r="B485" s="1"/>
      <c r="C485" s="1"/>
    </row>
    <row r="488" spans="1:3">
      <c r="A488" s="2"/>
      <c r="B488" s="2"/>
      <c r="C488" s="2"/>
    </row>
    <row r="489" spans="1:3">
      <c r="A489" s="1"/>
      <c r="B489" s="1"/>
      <c r="C489" s="1"/>
    </row>
    <row r="490" spans="1:3">
      <c r="A490" s="1"/>
      <c r="B490" s="1"/>
      <c r="C490" s="1"/>
    </row>
    <row r="492" spans="1:3">
      <c r="A492" s="1"/>
      <c r="B492" s="1"/>
      <c r="C492" s="1"/>
    </row>
    <row r="495" spans="1:3">
      <c r="A495" s="2"/>
      <c r="B495" s="2"/>
      <c r="C495" s="2"/>
    </row>
    <row r="496" spans="1:3">
      <c r="A496" s="1"/>
      <c r="B496" s="1"/>
      <c r="C496" s="1"/>
    </row>
    <row r="497" spans="1:3">
      <c r="A497" s="1"/>
      <c r="B497" s="1"/>
      <c r="C497" s="1"/>
    </row>
    <row r="499" spans="1:3">
      <c r="A499" s="1"/>
      <c r="B499" s="1"/>
      <c r="C499" s="1"/>
    </row>
    <row r="502" spans="1:3">
      <c r="A502" s="1"/>
      <c r="B502" s="1"/>
      <c r="C502" s="1"/>
    </row>
    <row r="505" spans="1:3">
      <c r="A505" s="2"/>
      <c r="B505" s="2"/>
      <c r="C505" s="2"/>
    </row>
    <row r="506" spans="1:3">
      <c r="A506" s="1"/>
      <c r="B506" s="1"/>
      <c r="C506" s="1"/>
    </row>
    <row r="507" spans="1:3">
      <c r="A507" s="1"/>
      <c r="B507" s="1"/>
      <c r="C507" s="1"/>
    </row>
    <row r="509" spans="1:3">
      <c r="A509" s="1"/>
      <c r="B509" s="1"/>
      <c r="C509" s="1"/>
    </row>
    <row r="512" spans="1:3">
      <c r="A512" s="2"/>
      <c r="B512" s="2"/>
      <c r="C512" s="2"/>
    </row>
    <row r="513" spans="1:3">
      <c r="A513" s="1"/>
      <c r="B513" s="1"/>
      <c r="C513" s="1"/>
    </row>
    <row r="514" spans="1:3">
      <c r="A514" s="1"/>
      <c r="B514" s="1"/>
      <c r="C514" s="1"/>
    </row>
    <row r="516" spans="1:3">
      <c r="A516" s="1"/>
      <c r="B516" s="1"/>
      <c r="C516" s="1"/>
    </row>
    <row r="519" spans="1:3">
      <c r="A519" s="2"/>
      <c r="B519" s="2"/>
      <c r="C519" s="2"/>
    </row>
    <row r="520" spans="1:3">
      <c r="A520" s="1"/>
      <c r="B520" s="1"/>
      <c r="C520" s="1"/>
    </row>
    <row r="521" spans="1:3">
      <c r="A521" s="1"/>
      <c r="B521" s="1"/>
      <c r="C521" s="1"/>
    </row>
    <row r="523" spans="1:3">
      <c r="A523" s="1"/>
      <c r="B523" s="1"/>
      <c r="C523" s="1"/>
    </row>
    <row r="526" spans="1:3">
      <c r="A526" s="2"/>
      <c r="B526" s="2"/>
      <c r="C526" s="2"/>
    </row>
    <row r="527" spans="1:3">
      <c r="A527" s="1"/>
      <c r="B527" s="1"/>
      <c r="C527" s="1"/>
    </row>
    <row r="528" spans="1:3">
      <c r="A528" s="1"/>
      <c r="B528" s="1"/>
      <c r="C528" s="1"/>
    </row>
    <row r="530" spans="1:3">
      <c r="A530" s="1"/>
      <c r="B530" s="1"/>
      <c r="C530" s="1"/>
    </row>
    <row r="533" spans="1:3">
      <c r="A533" s="2"/>
      <c r="B533" s="2"/>
      <c r="C533" s="2"/>
    </row>
    <row r="534" spans="1:3">
      <c r="A534" s="1"/>
      <c r="B534" s="1"/>
      <c r="C534" s="1"/>
    </row>
    <row r="535" spans="1:3">
      <c r="A535" s="1"/>
      <c r="B535" s="1"/>
      <c r="C535" s="1"/>
    </row>
    <row r="537" spans="1:3">
      <c r="A537" s="1"/>
      <c r="B537" s="1"/>
      <c r="C537" s="1"/>
    </row>
    <row r="540" spans="1:3">
      <c r="A540" s="2"/>
      <c r="B540" s="2"/>
      <c r="C540" s="2"/>
    </row>
    <row r="541" spans="1:3">
      <c r="A541" s="1"/>
      <c r="B541" s="1"/>
      <c r="C541" s="1"/>
    </row>
    <row r="542" spans="1:3">
      <c r="A542" s="1"/>
      <c r="B542" s="1"/>
      <c r="C542" s="1"/>
    </row>
    <row r="544" spans="1:3">
      <c r="A544" s="1"/>
      <c r="B544" s="1"/>
      <c r="C544" s="1"/>
    </row>
    <row r="547" spans="1:3">
      <c r="A547" s="2"/>
      <c r="B547" s="2"/>
      <c r="C547" s="2"/>
    </row>
    <row r="548" spans="1:3">
      <c r="A548" s="1"/>
      <c r="B548" s="1"/>
      <c r="C548" s="1"/>
    </row>
    <row r="549" spans="1:3">
      <c r="A549" s="1"/>
      <c r="B549" s="1"/>
      <c r="C549" s="1"/>
    </row>
    <row r="551" spans="1:3">
      <c r="A551" s="1"/>
      <c r="B551" s="1"/>
      <c r="C551" s="1"/>
    </row>
    <row r="554" spans="1:3">
      <c r="A554" s="2"/>
      <c r="B554" s="2"/>
      <c r="C554" s="2"/>
    </row>
    <row r="555" spans="1:3">
      <c r="A555" s="1"/>
      <c r="B555" s="1"/>
      <c r="C555" s="1"/>
    </row>
    <row r="556" spans="1:3">
      <c r="A556" s="1"/>
      <c r="B556" s="1"/>
      <c r="C556" s="1"/>
    </row>
    <row r="558" spans="1:3">
      <c r="A558" s="1"/>
      <c r="B558" s="1"/>
      <c r="C558" s="1"/>
    </row>
    <row r="561" spans="1:3">
      <c r="A561" s="2"/>
      <c r="B561" s="2"/>
      <c r="C561" s="2"/>
    </row>
    <row r="562" spans="1:3">
      <c r="A562" s="1"/>
      <c r="B562" s="1"/>
      <c r="C562" s="1"/>
    </row>
    <row r="563" spans="1:3">
      <c r="A563" s="1"/>
      <c r="B563" s="1"/>
      <c r="C563" s="1"/>
    </row>
    <row r="565" spans="1:3">
      <c r="A565" s="1"/>
      <c r="B565" s="1"/>
      <c r="C565" s="1"/>
    </row>
    <row r="568" spans="1:3">
      <c r="A568" s="2"/>
      <c r="B568" s="2"/>
      <c r="C568" s="2"/>
    </row>
    <row r="569" spans="1:3">
      <c r="A569" s="1"/>
      <c r="B569" s="1"/>
      <c r="C569" s="1"/>
    </row>
    <row r="570" spans="1:3">
      <c r="A570" s="1"/>
      <c r="B570" s="1"/>
      <c r="C570" s="1"/>
    </row>
    <row r="572" spans="1:3">
      <c r="A572" s="1"/>
      <c r="B572" s="1"/>
      <c r="C572" s="1"/>
    </row>
    <row r="575" spans="1:3">
      <c r="A575" s="2"/>
      <c r="B575" s="2"/>
      <c r="C575" s="2"/>
    </row>
    <row r="576" spans="1:3">
      <c r="A576" s="1"/>
      <c r="B576" s="1"/>
      <c r="C576" s="1"/>
    </row>
    <row r="577" spans="1:3">
      <c r="A577" s="1"/>
      <c r="B577" s="1"/>
      <c r="C577" s="1"/>
    </row>
    <row r="579" spans="1:3">
      <c r="A579" s="1"/>
      <c r="B579" s="1"/>
      <c r="C579" s="1"/>
    </row>
    <row r="582" spans="1:3">
      <c r="A582" s="2"/>
      <c r="B582" s="2"/>
      <c r="C582" s="2"/>
    </row>
    <row r="583" spans="1:3">
      <c r="A583" s="1"/>
      <c r="B583" s="1"/>
      <c r="C583" s="1"/>
    </row>
    <row r="584" spans="1:3">
      <c r="A584" s="1"/>
      <c r="B584" s="1"/>
      <c r="C584" s="1"/>
    </row>
    <row r="586" spans="1:3">
      <c r="A586" s="1"/>
      <c r="B586" s="1"/>
      <c r="C586" s="1"/>
    </row>
    <row r="589" spans="1:3">
      <c r="A589" s="2"/>
      <c r="B589" s="2"/>
      <c r="C589" s="2"/>
    </row>
    <row r="590" spans="1:3">
      <c r="A590" s="1"/>
      <c r="B590" s="1"/>
      <c r="C590" s="1"/>
    </row>
    <row r="591" spans="1:3">
      <c r="A591" s="1"/>
      <c r="B591" s="1"/>
      <c r="C591" s="1"/>
    </row>
    <row r="593" spans="1:3">
      <c r="A593" s="1"/>
      <c r="B593" s="1"/>
      <c r="C593" s="1"/>
    </row>
    <row r="596" spans="1:3">
      <c r="A596" s="2"/>
      <c r="B596" s="2"/>
      <c r="C596" s="2"/>
    </row>
    <row r="597" spans="1:3">
      <c r="A597" s="1"/>
      <c r="B597" s="1"/>
      <c r="C597" s="1"/>
    </row>
    <row r="598" spans="1:3">
      <c r="A598" s="1"/>
      <c r="B598" s="1"/>
      <c r="C598" s="1"/>
    </row>
    <row r="600" spans="1:3">
      <c r="A600" s="1"/>
      <c r="B600" s="1"/>
      <c r="C600" s="1"/>
    </row>
    <row r="603" spans="1:3">
      <c r="A603" s="2"/>
      <c r="B603" s="2"/>
      <c r="C603" s="2"/>
    </row>
    <row r="604" spans="1:3">
      <c r="A604" s="1"/>
      <c r="B604" s="1"/>
      <c r="C604" s="1"/>
    </row>
    <row r="605" spans="1:3">
      <c r="A605" s="1"/>
      <c r="B605" s="1"/>
      <c r="C605" s="1"/>
    </row>
    <row r="607" spans="1:3">
      <c r="A607" s="1"/>
      <c r="B607" s="1"/>
      <c r="C607" s="1"/>
    </row>
    <row r="610" spans="1:3">
      <c r="A610" s="2"/>
      <c r="B610" s="2"/>
      <c r="C610" s="2"/>
    </row>
    <row r="611" spans="1:3">
      <c r="A611" s="1"/>
      <c r="B611" s="1"/>
      <c r="C611" s="1"/>
    </row>
    <row r="612" spans="1:3">
      <c r="A612" s="1"/>
      <c r="B612" s="1"/>
      <c r="C612" s="1"/>
    </row>
    <row r="614" spans="1:3">
      <c r="A614" s="1"/>
      <c r="B614" s="1"/>
      <c r="C614" s="1"/>
    </row>
    <row r="617" spans="1:3">
      <c r="A617" s="2"/>
      <c r="B617" s="2"/>
      <c r="C617" s="2"/>
    </row>
    <row r="618" spans="1:3">
      <c r="A618" s="1"/>
      <c r="B618" s="1"/>
      <c r="C618" s="1"/>
    </row>
    <row r="619" spans="1:3">
      <c r="A619" s="1"/>
      <c r="B619" s="1"/>
      <c r="C619" s="1"/>
    </row>
    <row r="621" spans="1:3">
      <c r="A621" s="1"/>
      <c r="B621" s="1"/>
      <c r="C621" s="1"/>
    </row>
    <row r="624" spans="1:3">
      <c r="A624" s="2"/>
      <c r="B624" s="2"/>
      <c r="C624" s="2"/>
    </row>
    <row r="625" spans="1:3">
      <c r="A625" s="1"/>
      <c r="B625" s="1"/>
      <c r="C625" s="1"/>
    </row>
    <row r="626" spans="1:3">
      <c r="A626" s="1"/>
      <c r="B626" s="1"/>
      <c r="C626" s="1"/>
    </row>
    <row r="628" spans="1:3">
      <c r="A628" s="1"/>
      <c r="B628" s="1"/>
      <c r="C628" s="1"/>
    </row>
    <row r="631" spans="1:3">
      <c r="A631" s="2"/>
      <c r="B631" s="2"/>
      <c r="C631" s="2"/>
    </row>
    <row r="632" spans="1:3">
      <c r="A632" s="1"/>
      <c r="B632" s="1"/>
      <c r="C632" s="1"/>
    </row>
    <row r="633" spans="1:3">
      <c r="A633" s="1"/>
      <c r="B633" s="1"/>
      <c r="C633" s="1"/>
    </row>
    <row r="635" spans="1:3">
      <c r="A635" s="1"/>
      <c r="B635" s="1"/>
      <c r="C635" s="1"/>
    </row>
    <row r="638" spans="1:3">
      <c r="A638" s="2"/>
      <c r="B638" s="2"/>
      <c r="C638" s="2"/>
    </row>
    <row r="639" spans="1:3">
      <c r="A639" s="1"/>
      <c r="B639" s="1"/>
      <c r="C639" s="1"/>
    </row>
    <row r="640" spans="1:3">
      <c r="A640" s="1"/>
      <c r="B640" s="1"/>
      <c r="C640" s="1"/>
    </row>
    <row r="642" spans="1:3">
      <c r="A642" s="1"/>
      <c r="B642" s="1"/>
      <c r="C642" s="1"/>
    </row>
    <row r="645" spans="1:3">
      <c r="A645" s="2"/>
      <c r="B645" s="2"/>
      <c r="C645" s="2"/>
    </row>
    <row r="646" spans="1:3">
      <c r="A646" s="1"/>
      <c r="B646" s="1"/>
      <c r="C646" s="1"/>
    </row>
    <row r="647" spans="1:3">
      <c r="A647" s="1"/>
      <c r="B647" s="1"/>
      <c r="C647" s="1"/>
    </row>
    <row r="649" spans="1:3">
      <c r="A649" s="1"/>
      <c r="B649" s="1"/>
      <c r="C649" s="1"/>
    </row>
    <row r="652" spans="1:3">
      <c r="A652" s="2"/>
      <c r="B652" s="2"/>
      <c r="C652" s="2"/>
    </row>
    <row r="653" spans="1:3">
      <c r="A653" s="1"/>
      <c r="B653" s="1"/>
      <c r="C653" s="1"/>
    </row>
    <row r="654" spans="1:3">
      <c r="A654" s="1"/>
      <c r="B654" s="1"/>
      <c r="C654" s="1"/>
    </row>
    <row r="656" spans="1:3">
      <c r="A656" s="1"/>
      <c r="B656" s="1"/>
      <c r="C656" s="1"/>
    </row>
    <row r="659" spans="1:3">
      <c r="A659" s="2"/>
      <c r="B659" s="2"/>
      <c r="C659" s="2"/>
    </row>
    <row r="660" spans="1:3">
      <c r="A660" s="1"/>
      <c r="B660" s="1"/>
      <c r="C660" s="1"/>
    </row>
    <row r="661" spans="1:3">
      <c r="A661" s="1"/>
      <c r="B661" s="1"/>
      <c r="C661" s="1"/>
    </row>
    <row r="663" spans="1:3">
      <c r="A663" s="1"/>
      <c r="B663" s="1"/>
      <c r="C663" s="1"/>
    </row>
    <row r="666" spans="1:3">
      <c r="A666" s="2"/>
      <c r="B666" s="2"/>
      <c r="C666" s="2"/>
    </row>
    <row r="667" spans="1:3">
      <c r="A667" s="1"/>
      <c r="B667" s="1"/>
      <c r="C667" s="1"/>
    </row>
    <row r="668" spans="1:3">
      <c r="A668" s="1"/>
      <c r="B668" s="1"/>
      <c r="C668" s="1"/>
    </row>
    <row r="670" spans="1:3">
      <c r="A670" s="1"/>
      <c r="B670" s="1"/>
      <c r="C670" s="1"/>
    </row>
    <row r="673" spans="1:3">
      <c r="A673" s="2"/>
      <c r="B673" s="2"/>
      <c r="C673" s="2"/>
    </row>
    <row r="674" spans="1:3">
      <c r="A674" s="1"/>
      <c r="B674" s="1"/>
      <c r="C674" s="1"/>
    </row>
    <row r="675" spans="1:3">
      <c r="A675" s="1"/>
      <c r="B675" s="1"/>
      <c r="C675" s="1"/>
    </row>
    <row r="677" spans="1:3">
      <c r="A677" s="1"/>
      <c r="B677" s="1"/>
      <c r="C677" s="1"/>
    </row>
    <row r="680" spans="1:3">
      <c r="A680" s="2"/>
      <c r="B680" s="2"/>
      <c r="C680" s="2"/>
    </row>
    <row r="681" spans="1:3">
      <c r="A681" s="1"/>
      <c r="B681" s="1"/>
      <c r="C681" s="1"/>
    </row>
    <row r="682" spans="1:3">
      <c r="A682" s="1"/>
      <c r="B682" s="1"/>
      <c r="C682" s="1"/>
    </row>
    <row r="684" spans="1:3">
      <c r="A684" s="1"/>
      <c r="B684" s="1"/>
      <c r="C684" s="1"/>
    </row>
    <row r="687" spans="1:3">
      <c r="A687" s="2"/>
      <c r="B687" s="2"/>
      <c r="C687" s="2"/>
    </row>
    <row r="688" spans="1:3">
      <c r="A688" s="1"/>
      <c r="B688" s="1"/>
      <c r="C688" s="1"/>
    </row>
    <row r="689" spans="1:3">
      <c r="A689" s="1"/>
      <c r="B689" s="1"/>
      <c r="C689" s="1"/>
    </row>
    <row r="691" spans="1:3">
      <c r="A691" s="1"/>
      <c r="B691" s="1"/>
      <c r="C691" s="1"/>
    </row>
    <row r="694" spans="1:3">
      <c r="A694" s="2"/>
      <c r="B694" s="2"/>
      <c r="C694" s="2"/>
    </row>
    <row r="695" spans="1:3">
      <c r="A695" s="1"/>
      <c r="B695" s="1"/>
      <c r="C695" s="1"/>
    </row>
    <row r="696" spans="1:3">
      <c r="A696" s="1"/>
      <c r="B696" s="1"/>
      <c r="C696" s="1"/>
    </row>
    <row r="698" spans="1:3">
      <c r="A698" s="1"/>
      <c r="B698" s="1"/>
      <c r="C698" s="1"/>
    </row>
    <row r="701" spans="1:3">
      <c r="A701" s="2"/>
      <c r="B701" s="2"/>
      <c r="C701" s="2"/>
    </row>
    <row r="702" spans="1:3">
      <c r="A702" s="1"/>
      <c r="B702" s="1"/>
      <c r="C702" s="1"/>
    </row>
    <row r="703" spans="1:3">
      <c r="A703" s="1"/>
      <c r="B703" s="1"/>
      <c r="C703" s="1"/>
    </row>
    <row r="705" spans="1:3">
      <c r="A705" s="1"/>
      <c r="B705" s="1"/>
      <c r="C705" s="1"/>
    </row>
    <row r="708" spans="1:3">
      <c r="A708" s="2"/>
      <c r="B708" s="2"/>
      <c r="C708" s="2"/>
    </row>
    <row r="709" spans="1:3">
      <c r="A709" s="1"/>
      <c r="B709" s="1"/>
      <c r="C709" s="1"/>
    </row>
    <row r="710" spans="1:3">
      <c r="A710" s="1"/>
      <c r="B710" s="1"/>
      <c r="C710" s="1"/>
    </row>
    <row r="712" spans="1:3">
      <c r="A712" s="1"/>
      <c r="B712" s="1"/>
      <c r="C712" s="1"/>
    </row>
    <row r="715" spans="1:3">
      <c r="A715" s="2"/>
      <c r="B715" s="2"/>
      <c r="C715" s="2"/>
    </row>
    <row r="716" spans="1:3">
      <c r="A716" s="1"/>
      <c r="B716" s="1"/>
      <c r="C716" s="1"/>
    </row>
    <row r="717" spans="1:3">
      <c r="A717" s="1"/>
      <c r="B717" s="1"/>
      <c r="C717" s="1"/>
    </row>
    <row r="719" spans="1:3">
      <c r="A719" s="1"/>
      <c r="B719" s="1"/>
      <c r="C719" s="1"/>
    </row>
    <row r="722" spans="1:3">
      <c r="A722" s="2"/>
      <c r="B722" s="2"/>
      <c r="C722" s="2"/>
    </row>
    <row r="723" spans="1:3">
      <c r="A723" s="1"/>
      <c r="B723" s="1"/>
      <c r="C723" s="1"/>
    </row>
    <row r="724" spans="1:3">
      <c r="A724" s="1"/>
      <c r="B724" s="1"/>
      <c r="C724" s="1"/>
    </row>
    <row r="726" spans="1:3">
      <c r="A726" s="1"/>
      <c r="B726" s="1"/>
      <c r="C726" s="1"/>
    </row>
    <row r="729" spans="1:3">
      <c r="A729" s="1"/>
      <c r="B729" s="1"/>
      <c r="C729" s="1"/>
    </row>
    <row r="732" spans="1:3">
      <c r="A732" s="2"/>
      <c r="B732" s="2"/>
      <c r="C732" s="2"/>
    </row>
    <row r="733" spans="1:3">
      <c r="A733" s="1"/>
      <c r="B733" s="1"/>
      <c r="C733" s="1"/>
    </row>
    <row r="734" spans="1:3">
      <c r="A734" s="1"/>
      <c r="B734" s="1"/>
      <c r="C734" s="1"/>
    </row>
    <row r="736" spans="1:3">
      <c r="A736" s="1"/>
      <c r="B736" s="1"/>
      <c r="C736" s="1"/>
    </row>
    <row r="739" spans="1:3">
      <c r="A739" s="2"/>
      <c r="B739" s="2"/>
      <c r="C739" s="2"/>
    </row>
    <row r="740" spans="1:3">
      <c r="A740" s="1"/>
      <c r="B740" s="1"/>
      <c r="C740" s="1"/>
    </row>
    <row r="741" spans="1:3">
      <c r="A741" s="1"/>
      <c r="B741" s="1"/>
      <c r="C741" s="1"/>
    </row>
    <row r="743" spans="1:3">
      <c r="A743" s="1"/>
      <c r="B743" s="1"/>
      <c r="C743" s="1"/>
    </row>
    <row r="746" spans="1:3">
      <c r="A746" s="2"/>
      <c r="B746" s="2"/>
      <c r="C746" s="2"/>
    </row>
    <row r="747" spans="1:3">
      <c r="A747" s="1"/>
      <c r="B747" s="1"/>
      <c r="C747" s="1"/>
    </row>
    <row r="748" spans="1:3">
      <c r="A748" s="1"/>
      <c r="B748" s="1"/>
      <c r="C748" s="1"/>
    </row>
    <row r="750" spans="1:3">
      <c r="A750" s="1"/>
      <c r="B750" s="1"/>
      <c r="C750" s="1"/>
    </row>
    <row r="753" spans="1:3">
      <c r="A753" s="2"/>
      <c r="B753" s="2"/>
      <c r="C753" s="2"/>
    </row>
    <row r="754" spans="1:3">
      <c r="A754" s="1"/>
      <c r="B754" s="1"/>
      <c r="C754" s="1"/>
    </row>
    <row r="755" spans="1:3">
      <c r="A755" s="1"/>
      <c r="B755" s="1"/>
      <c r="C755" s="1"/>
    </row>
    <row r="757" spans="1:3">
      <c r="A757" s="1"/>
      <c r="B757" s="1"/>
      <c r="C757" s="1"/>
    </row>
    <row r="760" spans="1:3">
      <c r="A760" s="2"/>
      <c r="B760" s="2"/>
      <c r="C760" s="2"/>
    </row>
    <row r="761" spans="1:3">
      <c r="A761" s="1"/>
      <c r="B761" s="1"/>
      <c r="C761" s="1"/>
    </row>
    <row r="762" spans="1:3">
      <c r="A762" s="1"/>
      <c r="B762" s="1"/>
      <c r="C762" s="1"/>
    </row>
    <row r="764" spans="1:3">
      <c r="A764" s="1"/>
      <c r="B764" s="1"/>
      <c r="C764" s="1"/>
    </row>
    <row r="767" spans="1:3">
      <c r="A767" s="2"/>
      <c r="B767" s="2"/>
      <c r="C767" s="2"/>
    </row>
    <row r="768" spans="1:3">
      <c r="A768" s="1"/>
      <c r="B768" s="1"/>
      <c r="C768" s="1"/>
    </row>
    <row r="769" spans="1:3">
      <c r="A769" s="1"/>
      <c r="B769" s="1"/>
      <c r="C769" s="1"/>
    </row>
    <row r="771" spans="1:3">
      <c r="A771" s="1"/>
      <c r="B771" s="1"/>
      <c r="C771" s="1"/>
    </row>
    <row r="774" spans="1:3">
      <c r="A774" s="2"/>
      <c r="B774" s="2"/>
      <c r="C774" s="2"/>
    </row>
    <row r="775" spans="1:3">
      <c r="A775" s="1"/>
      <c r="B775" s="1"/>
      <c r="C775" s="1"/>
    </row>
    <row r="776" spans="1:3">
      <c r="A776" s="1"/>
      <c r="B776" s="1"/>
      <c r="C776" s="1"/>
    </row>
    <row r="778" spans="1:3">
      <c r="A778" s="1"/>
      <c r="B778" s="1"/>
      <c r="C778" s="1"/>
    </row>
    <row r="781" spans="1:3">
      <c r="A781" s="2"/>
      <c r="B781" s="2"/>
      <c r="C781" s="2"/>
    </row>
    <row r="782" spans="1:3">
      <c r="A782" s="1"/>
      <c r="B782" s="1"/>
      <c r="C782" s="1"/>
    </row>
    <row r="783" spans="1:3">
      <c r="A783" s="1"/>
      <c r="B783" s="1"/>
      <c r="C783" s="1"/>
    </row>
    <row r="785" spans="1:3">
      <c r="A785" s="1"/>
      <c r="B785" s="1"/>
      <c r="C785" s="1"/>
    </row>
    <row r="788" spans="1:3">
      <c r="A788" s="2"/>
      <c r="B788" s="2"/>
      <c r="C788" s="2"/>
    </row>
    <row r="789" spans="1:3">
      <c r="A789" s="1"/>
      <c r="B789" s="1"/>
      <c r="C789" s="1"/>
    </row>
    <row r="790" spans="1:3">
      <c r="A790" s="1"/>
      <c r="B790" s="1"/>
      <c r="C790" s="1"/>
    </row>
    <row r="792" spans="1:3">
      <c r="A792" s="1"/>
      <c r="B792" s="1"/>
      <c r="C792" s="1"/>
    </row>
    <row r="795" spans="1:3">
      <c r="A795" s="2"/>
      <c r="B795" s="2"/>
      <c r="C795" s="2"/>
    </row>
    <row r="796" spans="1:3">
      <c r="A796" s="1"/>
      <c r="B796" s="1"/>
      <c r="C796" s="1"/>
    </row>
    <row r="797" spans="1:3">
      <c r="A797" s="1"/>
      <c r="B797" s="1"/>
      <c r="C797" s="1"/>
    </row>
    <row r="799" spans="1:3">
      <c r="A799" s="1"/>
      <c r="B799" s="1"/>
      <c r="C799" s="1"/>
    </row>
    <row r="802" spans="1:3">
      <c r="A802" s="2"/>
      <c r="B802" s="2"/>
      <c r="C802" s="2"/>
    </row>
    <row r="803" spans="1:3">
      <c r="A803" s="1"/>
      <c r="B803" s="1"/>
      <c r="C803" s="1"/>
    </row>
    <row r="804" spans="1:3">
      <c r="A804" s="1"/>
      <c r="B804" s="1"/>
      <c r="C804" s="1"/>
    </row>
    <row r="806" spans="1:3">
      <c r="A806" s="1"/>
      <c r="B806" s="1"/>
      <c r="C806" s="1"/>
    </row>
    <row r="809" spans="1:3">
      <c r="A809" s="2"/>
      <c r="B809" s="2"/>
      <c r="C809" s="2"/>
    </row>
    <row r="810" spans="1:3">
      <c r="A810" s="1"/>
      <c r="B810" s="1"/>
      <c r="C810" s="1"/>
    </row>
    <row r="811" spans="1:3">
      <c r="A811" s="1"/>
      <c r="B811" s="1"/>
      <c r="C811" s="1"/>
    </row>
    <row r="813" spans="1:3">
      <c r="A813" s="1"/>
      <c r="B813" s="1"/>
      <c r="C813" s="1"/>
    </row>
    <row r="816" spans="1:3">
      <c r="A816" s="2"/>
      <c r="B816" s="2"/>
      <c r="C816" s="2"/>
    </row>
    <row r="817" spans="1:3">
      <c r="A817" s="1"/>
      <c r="B817" s="1"/>
      <c r="C817" s="1"/>
    </row>
    <row r="818" spans="1:3">
      <c r="A818" s="1"/>
      <c r="B818" s="1"/>
      <c r="C818" s="1"/>
    </row>
    <row r="820" spans="1:3">
      <c r="A820" s="1"/>
      <c r="B820" s="1"/>
      <c r="C820" s="1"/>
    </row>
    <row r="823" spans="1:3">
      <c r="A823" s="2"/>
      <c r="B823" s="2"/>
      <c r="C823" s="2"/>
    </row>
    <row r="824" spans="1:3">
      <c r="A824" s="1"/>
      <c r="B824" s="1"/>
      <c r="C824" s="1"/>
    </row>
    <row r="825" spans="1:3">
      <c r="A825" s="1"/>
      <c r="B825" s="1"/>
      <c r="C825" s="1"/>
    </row>
    <row r="827" spans="1:3">
      <c r="A827" s="1"/>
      <c r="B827" s="1"/>
      <c r="C827" s="1"/>
    </row>
    <row r="830" spans="1:3">
      <c r="A830" s="2"/>
      <c r="B830" s="2"/>
      <c r="C830" s="2"/>
    </row>
    <row r="831" spans="1:3">
      <c r="A831" s="1"/>
      <c r="B831" s="1"/>
      <c r="C831" s="1"/>
    </row>
    <row r="832" spans="1:3">
      <c r="A832" s="1"/>
      <c r="B832" s="1"/>
      <c r="C832" s="1"/>
    </row>
    <row r="834" spans="1:3">
      <c r="A834" s="1"/>
      <c r="B834" s="1"/>
      <c r="C834" s="1"/>
    </row>
    <row r="837" spans="1:3">
      <c r="A837" s="2"/>
      <c r="B837" s="2"/>
      <c r="C837" s="2"/>
    </row>
    <row r="838" spans="1:3">
      <c r="A838" s="1"/>
      <c r="B838" s="1"/>
      <c r="C838" s="1"/>
    </row>
    <row r="839" spans="1:3">
      <c r="A839" s="1"/>
      <c r="B839" s="1"/>
      <c r="C839" s="1"/>
    </row>
    <row r="841" spans="1:3">
      <c r="A841" s="1"/>
      <c r="B841" s="1"/>
      <c r="C841" s="1"/>
    </row>
    <row r="844" spans="1:3">
      <c r="A844" s="2"/>
      <c r="B844" s="2"/>
      <c r="C844" s="2"/>
    </row>
    <row r="845" spans="1:3">
      <c r="A845" s="1"/>
      <c r="B845" s="1"/>
      <c r="C845" s="1"/>
    </row>
    <row r="846" spans="1:3">
      <c r="A846" s="1"/>
      <c r="B846" s="1"/>
      <c r="C846" s="1"/>
    </row>
    <row r="848" spans="1:3">
      <c r="A848" s="1"/>
      <c r="B848" s="1"/>
      <c r="C848" s="1"/>
    </row>
    <row r="851" spans="1:3">
      <c r="A851" s="2"/>
      <c r="B851" s="2"/>
      <c r="C851" s="2"/>
    </row>
    <row r="852" spans="1:3">
      <c r="A852" s="1"/>
      <c r="B852" s="1"/>
      <c r="C852" s="1"/>
    </row>
    <row r="853" spans="1:3">
      <c r="A853" s="1"/>
      <c r="B853" s="1"/>
      <c r="C853" s="1"/>
    </row>
    <row r="855" spans="1:3">
      <c r="A855" s="1"/>
      <c r="B855" s="1"/>
      <c r="C855" s="1"/>
    </row>
    <row r="858" spans="1:3">
      <c r="A858" s="2"/>
      <c r="B858" s="2"/>
      <c r="C858" s="2"/>
    </row>
    <row r="859" spans="1:3">
      <c r="A859" s="1"/>
      <c r="B859" s="1"/>
      <c r="C859" s="1"/>
    </row>
    <row r="860" spans="1:3">
      <c r="A860" s="1"/>
      <c r="B860" s="1"/>
      <c r="C860" s="1"/>
    </row>
    <row r="862" spans="1:3">
      <c r="A862" s="1"/>
      <c r="B862" s="1"/>
      <c r="C862" s="1"/>
    </row>
    <row r="865" spans="1:3">
      <c r="A865" s="2"/>
      <c r="B865" s="2"/>
      <c r="C865" s="2"/>
    </row>
    <row r="866" spans="1:3">
      <c r="A866" s="1"/>
      <c r="B866" s="1"/>
      <c r="C866" s="1"/>
    </row>
    <row r="867" spans="1:3">
      <c r="A867" s="1"/>
      <c r="B867" s="1"/>
      <c r="C867" s="1"/>
    </row>
    <row r="869" spans="1:3">
      <c r="A869" s="1"/>
      <c r="B869" s="1"/>
      <c r="C869" s="1"/>
    </row>
    <row r="872" spans="1:3">
      <c r="A872" s="2"/>
      <c r="B872" s="2"/>
      <c r="C872" s="2"/>
    </row>
    <row r="873" spans="1:3">
      <c r="A873" s="1"/>
      <c r="B873" s="1"/>
      <c r="C873" s="1"/>
    </row>
    <row r="874" spans="1:3">
      <c r="A874" s="1"/>
      <c r="B874" s="1"/>
      <c r="C874" s="1"/>
    </row>
    <row r="876" spans="1:3">
      <c r="A876" s="1"/>
      <c r="B876" s="1"/>
      <c r="C876" s="1"/>
    </row>
    <row r="879" spans="1:3">
      <c r="A879" s="2"/>
      <c r="B879" s="2"/>
      <c r="C879" s="2"/>
    </row>
    <row r="880" spans="1:3">
      <c r="A880" s="1"/>
      <c r="B880" s="1"/>
      <c r="C880" s="1"/>
    </row>
    <row r="881" spans="1:3">
      <c r="A881" s="1"/>
      <c r="B881" s="1"/>
      <c r="C881" s="1"/>
    </row>
    <row r="883" spans="1:3">
      <c r="A883" s="1"/>
      <c r="B883" s="1"/>
      <c r="C883" s="1"/>
    </row>
    <row r="886" spans="1:3">
      <c r="A886" s="2"/>
      <c r="B886" s="2"/>
      <c r="C886" s="2"/>
    </row>
    <row r="887" spans="1:3">
      <c r="A887" s="1"/>
      <c r="B887" s="1"/>
      <c r="C887" s="1"/>
    </row>
    <row r="888" spans="1:3">
      <c r="A888" s="1"/>
      <c r="B888" s="1"/>
      <c r="C888" s="1"/>
    </row>
    <row r="890" spans="1:3">
      <c r="A890" s="1"/>
      <c r="B890" s="1"/>
      <c r="C890" s="1"/>
    </row>
    <row r="893" spans="1:3">
      <c r="A893" s="2"/>
      <c r="B893" s="2"/>
      <c r="C893" s="2"/>
    </row>
    <row r="894" spans="1:3">
      <c r="A894" s="1"/>
      <c r="B894" s="1"/>
      <c r="C894" s="1"/>
    </row>
    <row r="895" spans="1:3">
      <c r="A895" s="1"/>
      <c r="B895" s="1"/>
      <c r="C895" s="1"/>
    </row>
    <row r="897" spans="1:3">
      <c r="A897" s="1"/>
      <c r="B897" s="1"/>
      <c r="C897" s="1"/>
    </row>
    <row r="900" spans="1:3">
      <c r="A900" s="2"/>
      <c r="B900" s="2"/>
      <c r="C900" s="2"/>
    </row>
  </sheetData>
  <mergeCells count="82">
    <mergeCell ref="A18:J18"/>
    <mergeCell ref="D19:F19"/>
    <mergeCell ref="S7:U7"/>
    <mergeCell ref="Q7:R7"/>
    <mergeCell ref="D13:F13"/>
    <mergeCell ref="Q8:R8"/>
    <mergeCell ref="Q13:R13"/>
    <mergeCell ref="D9:F9"/>
    <mergeCell ref="Q14:R14"/>
    <mergeCell ref="D15:F15"/>
    <mergeCell ref="D16:F16"/>
    <mergeCell ref="D10:F10"/>
    <mergeCell ref="D11:F11"/>
    <mergeCell ref="D12:F12"/>
    <mergeCell ref="D17:F17"/>
    <mergeCell ref="D21:F21"/>
    <mergeCell ref="D24:F24"/>
    <mergeCell ref="D33:F33"/>
    <mergeCell ref="D34:F34"/>
    <mergeCell ref="D27:F27"/>
    <mergeCell ref="D25:F25"/>
    <mergeCell ref="D23:F23"/>
    <mergeCell ref="D22:F22"/>
    <mergeCell ref="D30:F30"/>
    <mergeCell ref="D35:F35"/>
    <mergeCell ref="D37:F37"/>
    <mergeCell ref="D28:F28"/>
    <mergeCell ref="A31:J31"/>
    <mergeCell ref="D32:F32"/>
    <mergeCell ref="D40:F40"/>
    <mergeCell ref="D29:F29"/>
    <mergeCell ref="D38:F38"/>
    <mergeCell ref="D39:F39"/>
    <mergeCell ref="A73:L73"/>
    <mergeCell ref="G61:H61"/>
    <mergeCell ref="A62:F62"/>
    <mergeCell ref="G62:H62"/>
    <mergeCell ref="A71:L71"/>
    <mergeCell ref="A72:L72"/>
    <mergeCell ref="A68:K68"/>
    <mergeCell ref="I61:J61"/>
    <mergeCell ref="A61:E61"/>
    <mergeCell ref="A63:L63"/>
    <mergeCell ref="A64:L64"/>
    <mergeCell ref="A65:L65"/>
    <mergeCell ref="G60:H60"/>
    <mergeCell ref="D43:F43"/>
    <mergeCell ref="D44:F44"/>
    <mergeCell ref="A41:J41"/>
    <mergeCell ref="A46:J46"/>
    <mergeCell ref="A51:J51"/>
    <mergeCell ref="D52:F52"/>
    <mergeCell ref="D53:F53"/>
    <mergeCell ref="D49:F49"/>
    <mergeCell ref="D50:F50"/>
    <mergeCell ref="C59:F59"/>
    <mergeCell ref="D42:F42"/>
    <mergeCell ref="I60:J60"/>
    <mergeCell ref="A60:F60"/>
    <mergeCell ref="A55:J55"/>
    <mergeCell ref="D45:F45"/>
    <mergeCell ref="I59:K59"/>
    <mergeCell ref="G59:H59"/>
    <mergeCell ref="A1:D1"/>
    <mergeCell ref="D8:F8"/>
    <mergeCell ref="D14:F14"/>
    <mergeCell ref="F1:K1"/>
    <mergeCell ref="A2:K2"/>
    <mergeCell ref="A3:K3"/>
    <mergeCell ref="A4:K4"/>
    <mergeCell ref="A7:K7"/>
    <mergeCell ref="A5:K5"/>
    <mergeCell ref="A6:K6"/>
    <mergeCell ref="D20:F20"/>
    <mergeCell ref="D47:F47"/>
    <mergeCell ref="D36:F36"/>
    <mergeCell ref="D26:F26"/>
    <mergeCell ref="D54:F54"/>
    <mergeCell ref="D48:F48"/>
    <mergeCell ref="D56:F56"/>
    <mergeCell ref="D57:F57"/>
    <mergeCell ref="A58:J58"/>
  </mergeCells>
  <phoneticPr fontId="12" type="noConversion"/>
  <printOptions horizontalCentered="1"/>
  <pageMargins left="0.43307086614173229" right="0.31496062992125984" top="0.35433070866141736" bottom="0.31496062992125984" header="0.31496062992125984" footer="0.23622047244094491"/>
  <pageSetup paperSize="9" scale="77" fitToHeight="0" orientation="landscape" r:id="rId1"/>
  <rowBreaks count="1" manualBreakCount="1">
    <brk id="4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96"/>
  <sheetViews>
    <sheetView showGridLines="0" tabSelected="1" topLeftCell="A56" zoomScale="90" zoomScaleNormal="90" workbookViewId="0">
      <selection activeCell="G50" sqref="G50"/>
    </sheetView>
  </sheetViews>
  <sheetFormatPr baseColWidth="10" defaultColWidth="8.83203125" defaultRowHeight="15"/>
  <cols>
    <col min="1" max="1" width="5.5" customWidth="1"/>
    <col min="2" max="2" width="9.33203125" customWidth="1"/>
    <col min="3" max="3" width="7.5" customWidth="1"/>
    <col min="4" max="4" width="14" customWidth="1"/>
    <col min="5" max="5" width="38.5" customWidth="1"/>
    <col min="6" max="6" width="12.83203125" customWidth="1"/>
    <col min="7" max="7" width="12.5" style="33" customWidth="1"/>
    <col min="8" max="8" width="12.5" customWidth="1"/>
    <col min="9" max="9" width="20.6640625" customWidth="1"/>
    <col min="10" max="10" width="4.33203125" customWidth="1"/>
    <col min="11" max="11" width="13" bestFit="1" customWidth="1"/>
    <col min="12" max="12" width="14.5" customWidth="1"/>
    <col min="13" max="13" width="17.6640625" customWidth="1"/>
    <col min="14" max="14" width="13.33203125" customWidth="1"/>
    <col min="15" max="15" width="14.83203125" customWidth="1"/>
    <col min="16" max="16" width="15.1640625" customWidth="1"/>
    <col min="17" max="17" width="12.5" customWidth="1"/>
    <col min="19" max="19" width="11.1640625" customWidth="1"/>
    <col min="20" max="20" width="11.6640625" customWidth="1"/>
    <col min="23" max="23" width="10.5" customWidth="1"/>
    <col min="24" max="24" width="23" customWidth="1"/>
    <col min="25" max="25" width="9.1640625" customWidth="1"/>
    <col min="26" max="26" width="21" customWidth="1"/>
  </cols>
  <sheetData>
    <row r="1" spans="1:19" ht="23" customHeight="1">
      <c r="A1" s="322"/>
      <c r="B1" s="289"/>
      <c r="C1" s="289"/>
      <c r="D1" s="289"/>
      <c r="E1" s="323" t="s">
        <v>89</v>
      </c>
      <c r="F1" s="323"/>
      <c r="G1" s="323"/>
      <c r="H1" s="323"/>
      <c r="I1" s="324"/>
      <c r="J1" s="1"/>
      <c r="K1" s="1"/>
    </row>
    <row r="2" spans="1:19" ht="23" customHeight="1">
      <c r="A2" s="57"/>
      <c r="B2" s="6"/>
      <c r="C2" s="6"/>
      <c r="D2" s="6"/>
      <c r="E2" s="274" t="s">
        <v>219</v>
      </c>
      <c r="F2" s="274"/>
      <c r="G2" s="274"/>
      <c r="H2" s="274"/>
      <c r="I2" s="275"/>
      <c r="J2" s="1"/>
      <c r="K2" s="1"/>
    </row>
    <row r="3" spans="1:19" ht="23" customHeight="1">
      <c r="A3" s="57"/>
      <c r="B3" s="6"/>
      <c r="C3" s="6"/>
      <c r="D3" s="6"/>
      <c r="E3" s="274" t="s">
        <v>99</v>
      </c>
      <c r="F3" s="274"/>
      <c r="G3" s="274"/>
      <c r="H3" s="274"/>
      <c r="I3" s="275"/>
      <c r="J3" s="1"/>
      <c r="K3" s="1"/>
    </row>
    <row r="4" spans="1:19" ht="23" customHeight="1">
      <c r="A4" s="57"/>
      <c r="B4" s="6"/>
      <c r="C4" s="6"/>
      <c r="D4" s="6"/>
      <c r="E4" s="277" t="s">
        <v>82</v>
      </c>
      <c r="F4" s="277"/>
      <c r="G4" s="277"/>
      <c r="H4" s="277"/>
      <c r="I4" s="278"/>
      <c r="J4" s="1"/>
      <c r="K4" s="1"/>
    </row>
    <row r="5" spans="1:19" ht="23" customHeight="1">
      <c r="A5" s="282" t="s">
        <v>303</v>
      </c>
      <c r="B5" s="283"/>
      <c r="C5" s="283"/>
      <c r="D5" s="283"/>
      <c r="E5" s="283"/>
      <c r="F5" s="283"/>
      <c r="G5" s="283"/>
      <c r="H5" s="283"/>
      <c r="I5" s="284"/>
      <c r="J5" s="1"/>
      <c r="K5" s="1"/>
      <c r="O5" s="299"/>
      <c r="P5" s="299"/>
      <c r="Q5" s="299"/>
      <c r="R5" s="299"/>
      <c r="S5" s="299"/>
    </row>
    <row r="6" spans="1:19" ht="23" customHeight="1">
      <c r="A6" s="319" t="s">
        <v>309</v>
      </c>
      <c r="B6" s="320"/>
      <c r="C6" s="320"/>
      <c r="D6" s="320"/>
      <c r="E6" s="320"/>
      <c r="F6" s="320"/>
      <c r="G6" s="320"/>
      <c r="H6" s="320"/>
      <c r="I6" s="321"/>
      <c r="J6" s="1"/>
      <c r="K6" s="1"/>
      <c r="O6" s="15"/>
      <c r="P6" s="15"/>
      <c r="Q6" s="15"/>
      <c r="R6" s="15"/>
      <c r="S6" s="15"/>
    </row>
    <row r="7" spans="1:19" ht="23" customHeight="1">
      <c r="A7" s="316" t="s">
        <v>305</v>
      </c>
      <c r="B7" s="317"/>
      <c r="C7" s="317"/>
      <c r="D7" s="317"/>
      <c r="E7" s="317"/>
      <c r="F7" s="317"/>
      <c r="G7" s="317"/>
      <c r="H7" s="317"/>
      <c r="I7" s="318"/>
      <c r="J7" s="1"/>
      <c r="K7" s="1"/>
      <c r="O7" s="15"/>
      <c r="P7" s="15"/>
      <c r="Q7" s="15"/>
      <c r="R7" s="15"/>
      <c r="S7" s="15"/>
    </row>
    <row r="8" spans="1:19" ht="23" customHeight="1">
      <c r="A8" s="4" t="s">
        <v>28</v>
      </c>
      <c r="B8" s="21" t="s">
        <v>2</v>
      </c>
      <c r="C8" s="21" t="s">
        <v>3</v>
      </c>
      <c r="D8" s="270" t="s">
        <v>211</v>
      </c>
      <c r="E8" s="270"/>
      <c r="F8" s="21" t="s">
        <v>4</v>
      </c>
      <c r="G8" s="29" t="s">
        <v>6</v>
      </c>
      <c r="H8" s="21" t="s">
        <v>15</v>
      </c>
      <c r="I8" s="21" t="s">
        <v>16</v>
      </c>
      <c r="J8" s="1"/>
      <c r="K8" s="1"/>
      <c r="O8" s="299" t="s">
        <v>9</v>
      </c>
      <c r="P8" s="299"/>
    </row>
    <row r="9" spans="1:19" ht="23" customHeight="1">
      <c r="A9" s="43" t="s">
        <v>90</v>
      </c>
      <c r="B9" s="17" t="s">
        <v>186</v>
      </c>
      <c r="C9" s="17">
        <f>'MEMÓRIA DE CÁLCULO'!C9</f>
        <v>45801</v>
      </c>
      <c r="D9" s="292" t="str">
        <f>'MEMÓRIA DE CÁLCULO'!D9</f>
        <v>PROJETO EXECUTIVO DE ENGENHARIA PARA REGIÃO ONDULADA</v>
      </c>
      <c r="E9" s="294"/>
      <c r="F9" s="17" t="s">
        <v>160</v>
      </c>
      <c r="G9" s="30">
        <f>'MEMÓRIA DE CÁLCULO'!I9</f>
        <v>11.45</v>
      </c>
      <c r="H9" s="22">
        <f>'MEMÓRIA DE CÁLCULO'!J9</f>
        <v>18480.939999999999</v>
      </c>
      <c r="I9" s="22">
        <f>G9*H9</f>
        <v>211606.76299999998</v>
      </c>
      <c r="J9" s="1"/>
      <c r="K9" s="1"/>
      <c r="O9" s="15"/>
      <c r="P9" s="15"/>
    </row>
    <row r="10" spans="1:19" ht="23" customHeight="1">
      <c r="A10" s="43" t="s">
        <v>91</v>
      </c>
      <c r="B10" s="17" t="s">
        <v>186</v>
      </c>
      <c r="C10" s="17">
        <f>'MEMÓRIA DE CÁLCULO'!C10</f>
        <v>40804</v>
      </c>
      <c r="D10" s="54" t="s">
        <v>96</v>
      </c>
      <c r="E10" s="55"/>
      <c r="F10" s="17" t="s">
        <v>12</v>
      </c>
      <c r="G10" s="30">
        <f>'DADOS '!F16</f>
        <v>22905.9</v>
      </c>
      <c r="H10" s="22">
        <f>'MEMÓRIA DE CÁLCULO'!J10</f>
        <v>5.09</v>
      </c>
      <c r="I10" s="22">
        <f t="shared" ref="I10:I17" si="0">G10*H10</f>
        <v>116591.031</v>
      </c>
      <c r="J10" s="1"/>
      <c r="K10" s="1"/>
      <c r="O10" s="15"/>
      <c r="P10" s="15"/>
    </row>
    <row r="11" spans="1:19" ht="23" customHeight="1">
      <c r="A11" s="43" t="s">
        <v>92</v>
      </c>
      <c r="B11" s="17" t="s">
        <v>186</v>
      </c>
      <c r="C11" s="17">
        <f>'MEMÓRIA DE CÁLCULO'!C11</f>
        <v>40800</v>
      </c>
      <c r="D11" s="54" t="s">
        <v>97</v>
      </c>
      <c r="E11" s="56"/>
      <c r="F11" s="17" t="s">
        <v>12</v>
      </c>
      <c r="G11" s="30">
        <f>'DADOS '!F16</f>
        <v>22905.9</v>
      </c>
      <c r="H11" s="22">
        <f>'MEMÓRIA DE CÁLCULO'!J11</f>
        <v>18.63</v>
      </c>
      <c r="I11" s="22">
        <f t="shared" si="0"/>
        <v>426736.91700000002</v>
      </c>
      <c r="J11" s="1"/>
      <c r="K11" s="1"/>
      <c r="O11" s="15"/>
      <c r="P11" s="15"/>
    </row>
    <row r="12" spans="1:19" ht="23" customHeight="1">
      <c r="A12" s="43" t="s">
        <v>181</v>
      </c>
      <c r="B12" s="17" t="s">
        <v>186</v>
      </c>
      <c r="C12" s="17">
        <f>'MEMÓRIA DE CÁLCULO'!C12</f>
        <v>44001</v>
      </c>
      <c r="D12" s="143" t="str">
        <f>'MEMÓRIA DE CÁLCULO'!D12</f>
        <v>LIMPEZA (PAV.URB.)</v>
      </c>
      <c r="E12" s="144"/>
      <c r="F12" s="17" t="s">
        <v>7</v>
      </c>
      <c r="G12" s="30">
        <f>('DADOS '!A8*('DADOS '!C8))</f>
        <v>274870.80000000005</v>
      </c>
      <c r="H12" s="22">
        <f>'MEMÓRIA DE CÁLCULO'!J12</f>
        <v>0.27</v>
      </c>
      <c r="I12" s="22">
        <f t="shared" si="0"/>
        <v>74215.116000000024</v>
      </c>
      <c r="J12" s="1"/>
      <c r="K12" s="1"/>
      <c r="O12" s="299"/>
      <c r="P12" s="299"/>
    </row>
    <row r="13" spans="1:19" ht="23" customHeight="1">
      <c r="A13" s="43" t="s">
        <v>182</v>
      </c>
      <c r="B13" s="17" t="s">
        <v>186</v>
      </c>
      <c r="C13" s="17">
        <f>'MEMÓRIA DE CÁLCULO'!C13</f>
        <v>40005</v>
      </c>
      <c r="D13" s="292" t="str">
        <f>'MEMÓRIA DE CÁLCULO'!D13</f>
        <v>CARGA DE ENTULHOS</v>
      </c>
      <c r="E13" s="294"/>
      <c r="F13" s="17" t="s">
        <v>8</v>
      </c>
      <c r="G13" s="31">
        <f>G12*'DADOS '!A10*'DADOS '!E10</f>
        <v>32984.496000000006</v>
      </c>
      <c r="H13" s="22">
        <f>'MEMÓRIA DE CÁLCULO'!J13</f>
        <v>2.85</v>
      </c>
      <c r="I13" s="22">
        <f t="shared" si="0"/>
        <v>94005.813600000023</v>
      </c>
      <c r="J13" s="1"/>
      <c r="K13" s="1"/>
      <c r="O13" s="299"/>
      <c r="P13" s="299"/>
    </row>
    <row r="14" spans="1:19" ht="23" customHeight="1">
      <c r="A14" s="43" t="s">
        <v>281</v>
      </c>
      <c r="B14" s="17" t="s">
        <v>186</v>
      </c>
      <c r="C14" s="17">
        <f>'MEMÓRIA DE CÁLCULO'!C14</f>
        <v>40006</v>
      </c>
      <c r="D14" s="292" t="str">
        <f>'MEMÓRIA DE CÁLCULO'!D14</f>
        <v xml:space="preserve">TRANSPORTE DE ENTULHO </v>
      </c>
      <c r="E14" s="294"/>
      <c r="F14" s="17" t="s">
        <v>10</v>
      </c>
      <c r="G14" s="30">
        <f>G13*'DADOS '!B10</f>
        <v>189660.85200000004</v>
      </c>
      <c r="H14" s="22">
        <f>'MEMÓRIA DE CÁLCULO'!J14</f>
        <v>2.76</v>
      </c>
      <c r="I14" s="22">
        <f t="shared" si="0"/>
        <v>523463.95152000006</v>
      </c>
      <c r="J14" s="1"/>
      <c r="K14" s="1"/>
      <c r="L14" s="33"/>
      <c r="O14" s="299"/>
      <c r="P14" s="299"/>
    </row>
    <row r="15" spans="1:19" ht="23" customHeight="1">
      <c r="A15" s="43" t="s">
        <v>183</v>
      </c>
      <c r="B15" s="17" t="s">
        <v>186</v>
      </c>
      <c r="C15" s="17">
        <f>'MEMÓRIA DE CÁLCULO'!C15</f>
        <v>40090</v>
      </c>
      <c r="D15" s="285" t="str">
        <f>'MEMÓRIA DE CÁLCULO'!D15</f>
        <v>ESCAVAÇÃO E CARGA DE MATERIAL DE 1ºCATEGORIA - SEM TRANSPORTE</v>
      </c>
      <c r="E15" s="287"/>
      <c r="F15" s="17" t="s">
        <v>8</v>
      </c>
      <c r="G15" s="30">
        <f>'MEMÓRIA DE CÁLCULO'!I15</f>
        <v>157493.83000000002</v>
      </c>
      <c r="H15" s="22">
        <f>'MEMÓRIA DE CÁLCULO'!J15</f>
        <v>2.29</v>
      </c>
      <c r="I15" s="22">
        <f t="shared" si="0"/>
        <v>360660.87070000003</v>
      </c>
      <c r="J15" s="1"/>
      <c r="K15" s="1"/>
    </row>
    <row r="16" spans="1:19" ht="23" customHeight="1">
      <c r="A16" s="43" t="s">
        <v>93</v>
      </c>
      <c r="B16" s="17" t="s">
        <v>186</v>
      </c>
      <c r="C16" s="17">
        <f>'MEMÓRIA DE CÁLCULO'!C16</f>
        <v>40320</v>
      </c>
      <c r="D16" s="292" t="str">
        <f>'MEMÓRIA DE CÁLCULO'!D16</f>
        <v>TRANSPORTE DE MATERIAL DE JAZIDA</v>
      </c>
      <c r="E16" s="294"/>
      <c r="F16" s="17" t="s">
        <v>10</v>
      </c>
      <c r="G16" s="30">
        <f>G15*'DADOS '!B10*'DADOS '!E10</f>
        <v>1086707.4270000001</v>
      </c>
      <c r="H16" s="22">
        <f>'MEMÓRIA DE CÁLCULO'!J16</f>
        <v>3.04</v>
      </c>
      <c r="I16" s="22">
        <f t="shared" si="0"/>
        <v>3303590.5780800004</v>
      </c>
      <c r="J16" s="1"/>
      <c r="K16" s="1"/>
    </row>
    <row r="17" spans="1:13" ht="23" customHeight="1">
      <c r="A17" s="43" t="s">
        <v>282</v>
      </c>
      <c r="B17" s="17" t="s">
        <v>186</v>
      </c>
      <c r="C17" s="17">
        <f>'MEMÓRIA DE CÁLCULO'!C17</f>
        <v>40101</v>
      </c>
      <c r="D17" s="292" t="str">
        <f>'MEMÓRIA DE CÁLCULO'!D17</f>
        <v>COMPACTAÇÃO A 100% DO PROCTOR NORMAL</v>
      </c>
      <c r="E17" s="294"/>
      <c r="F17" s="27" t="s">
        <v>8</v>
      </c>
      <c r="G17" s="28">
        <f>'DADOS '!A18</f>
        <v>176055.57</v>
      </c>
      <c r="H17" s="22">
        <f>'MEMÓRIA DE CÁLCULO'!J17</f>
        <v>6.38</v>
      </c>
      <c r="I17" s="22">
        <f t="shared" si="0"/>
        <v>1123234.5366</v>
      </c>
      <c r="J17" s="1"/>
      <c r="K17" s="1"/>
    </row>
    <row r="18" spans="1:13" ht="23" customHeight="1">
      <c r="A18" s="306" t="s">
        <v>225</v>
      </c>
      <c r="B18" s="307"/>
      <c r="C18" s="307"/>
      <c r="D18" s="307"/>
      <c r="E18" s="307"/>
      <c r="F18" s="307"/>
      <c r="G18" s="307"/>
      <c r="H18" s="308"/>
      <c r="I18" s="22">
        <f>SUM(I9:I17)</f>
        <v>6234105.5775000006</v>
      </c>
      <c r="J18" s="1"/>
      <c r="K18" s="1"/>
    </row>
    <row r="19" spans="1:13" ht="23" customHeight="1">
      <c r="A19" s="4" t="s">
        <v>27</v>
      </c>
      <c r="B19" s="21" t="s">
        <v>2</v>
      </c>
      <c r="C19" s="21" t="s">
        <v>3</v>
      </c>
      <c r="D19" s="270" t="s">
        <v>13</v>
      </c>
      <c r="E19" s="270"/>
      <c r="F19" s="21" t="s">
        <v>4</v>
      </c>
      <c r="G19" s="29" t="s">
        <v>6</v>
      </c>
      <c r="H19" s="21" t="s">
        <v>15</v>
      </c>
      <c r="I19" s="21" t="s">
        <v>16</v>
      </c>
      <c r="J19" s="1"/>
      <c r="K19" s="1"/>
    </row>
    <row r="20" spans="1:13" ht="23" customHeight="1">
      <c r="A20" s="43" t="s">
        <v>1</v>
      </c>
      <c r="B20" s="17" t="s">
        <v>186</v>
      </c>
      <c r="C20" s="17">
        <f>'MEMÓRIA DE CÁLCULO'!C20</f>
        <v>40310</v>
      </c>
      <c r="D20" s="292" t="str">
        <f>'MEMÓRIA DE CÁLCULO'!D20</f>
        <v xml:space="preserve">REGULARIZAÇÃO E COMPACTAÇÃO DO SUB-LEITO </v>
      </c>
      <c r="E20" s="294"/>
      <c r="F20" s="17" t="s">
        <v>7</v>
      </c>
      <c r="G20" s="30">
        <f>'DADOS '!A8*'DADOS '!F8</f>
        <v>128273.04</v>
      </c>
      <c r="H20" s="22">
        <f>'MEMÓRIA DE CÁLCULO'!J20</f>
        <v>2.88</v>
      </c>
      <c r="I20" s="22">
        <f>G20*H20</f>
        <v>369426.35519999999</v>
      </c>
      <c r="J20" s="19"/>
      <c r="K20" s="1"/>
    </row>
    <row r="21" spans="1:13" ht="23" customHeight="1">
      <c r="A21" s="43" t="s">
        <v>26</v>
      </c>
      <c r="B21" s="17" t="s">
        <v>186</v>
      </c>
      <c r="C21" s="17">
        <f>'MEMÓRIA DE CÁLCULO'!C21</f>
        <v>40316</v>
      </c>
      <c r="D21" s="292" t="str">
        <f>'MEMÓRIA DE CÁLCULO'!D21</f>
        <v xml:space="preserve">ESCAVAÇÃO E CARGA DE MATERIAL DE JAZIDA COM INDENIZAÇÃO </v>
      </c>
      <c r="E21" s="294"/>
      <c r="F21" s="17" t="s">
        <v>8</v>
      </c>
      <c r="G21" s="34">
        <f>'DADOS '!A8*'DADOS '!F14*'DADOS '!A12</f>
        <v>45811.8</v>
      </c>
      <c r="H21" s="22">
        <f>'MEMÓRIA DE CÁLCULO'!J21</f>
        <v>11.49</v>
      </c>
      <c r="I21" s="22">
        <f t="shared" ref="I21:I30" si="1">G21*H21</f>
        <v>526377.58200000005</v>
      </c>
      <c r="J21" s="20"/>
      <c r="L21" t="s">
        <v>9</v>
      </c>
    </row>
    <row r="22" spans="1:13" ht="23" customHeight="1">
      <c r="A22" s="43" t="s">
        <v>31</v>
      </c>
      <c r="B22" s="17" t="s">
        <v>186</v>
      </c>
      <c r="C22" s="17">
        <f>'MEMÓRIA DE CÁLCULO'!C22</f>
        <v>40320</v>
      </c>
      <c r="D22" s="292" t="str">
        <f>'MEMÓRIA DE CÁLCULO'!D22</f>
        <v xml:space="preserve">TRANSPORTE DE MATERIAL DE JAZIDA-CASCALHO </v>
      </c>
      <c r="E22" s="294"/>
      <c r="F22" s="17" t="s">
        <v>10</v>
      </c>
      <c r="G22" s="30">
        <f>G21*'DADOS '!F10*'DADOS '!C12</f>
        <v>687177</v>
      </c>
      <c r="H22" s="22">
        <f>'MEMÓRIA DE CÁLCULO'!J22</f>
        <v>3.04</v>
      </c>
      <c r="I22" s="22">
        <f t="shared" si="1"/>
        <v>2089018.08</v>
      </c>
      <c r="J22" s="1"/>
      <c r="K22" s="1"/>
    </row>
    <row r="23" spans="1:13" ht="23" customHeight="1">
      <c r="A23" s="43" t="s">
        <v>175</v>
      </c>
      <c r="B23" s="17" t="s">
        <v>186</v>
      </c>
      <c r="C23" s="17">
        <f>'MEMÓRIA DE CÁLCULO'!C23</f>
        <v>40336</v>
      </c>
      <c r="D23" s="285" t="str">
        <f>'MEMÓRIA DE CÁLCULO'!D23</f>
        <v xml:space="preserve">ESTABILIZAÇÃO GRANULOMÉTRICA SEM MISTURA - REF.PROCTOR: 39 GOLPES (100% P.IM.) </v>
      </c>
      <c r="E23" s="287"/>
      <c r="F23" s="17" t="s">
        <v>8</v>
      </c>
      <c r="G23" s="30">
        <f>G21</f>
        <v>45811.8</v>
      </c>
      <c r="H23" s="22">
        <f>'MEMÓRIA DE CÁLCULO'!J23</f>
        <v>20.2</v>
      </c>
      <c r="I23" s="22">
        <f t="shared" si="1"/>
        <v>925398.36</v>
      </c>
      <c r="J23" s="1"/>
      <c r="K23" s="1"/>
    </row>
    <row r="24" spans="1:13" ht="23" customHeight="1">
      <c r="A24" s="43" t="s">
        <v>176</v>
      </c>
      <c r="B24" s="17" t="s">
        <v>186</v>
      </c>
      <c r="C24" s="17">
        <f>'MEMÓRIA DE CÁLCULO'!C24</f>
        <v>40380</v>
      </c>
      <c r="D24" s="292" t="str">
        <f>'MEMÓRIA DE CÁLCULO'!D24</f>
        <v>IMPRIMAÇÃO</v>
      </c>
      <c r="E24" s="294"/>
      <c r="F24" s="17" t="s">
        <v>7</v>
      </c>
      <c r="G24" s="30">
        <f>'DADOS '!A8*'DADOS '!E8</f>
        <v>105367.14</v>
      </c>
      <c r="H24" s="22">
        <f>'MEMÓRIA DE CÁLCULO'!J24</f>
        <v>0.5</v>
      </c>
      <c r="I24" s="22">
        <f t="shared" si="1"/>
        <v>52683.57</v>
      </c>
      <c r="J24" s="1"/>
      <c r="K24" s="1"/>
    </row>
    <row r="25" spans="1:13" ht="23" customHeight="1">
      <c r="A25" s="43" t="s">
        <v>177</v>
      </c>
      <c r="B25" s="17" t="s">
        <v>186</v>
      </c>
      <c r="C25" s="17">
        <f>'MEMÓRIA DE CÁLCULO'!C25</f>
        <v>40385</v>
      </c>
      <c r="D25" s="292" t="str">
        <f>'MEMÓRIA DE CÁLCULO'!D25</f>
        <v xml:space="preserve">PINTURA DE LIGAÇÃO </v>
      </c>
      <c r="E25" s="294"/>
      <c r="F25" s="17" t="s">
        <v>7</v>
      </c>
      <c r="G25" s="30">
        <f>'DADOS '!A8*'DADOS '!B8</f>
        <v>103076.55</v>
      </c>
      <c r="H25" s="22">
        <f>'MEMÓRIA DE CÁLCULO'!J25</f>
        <v>0.49</v>
      </c>
      <c r="I25" s="22">
        <f t="shared" si="1"/>
        <v>50507.5095</v>
      </c>
      <c r="J25" s="1" t="s">
        <v>9</v>
      </c>
      <c r="K25" s="1"/>
    </row>
    <row r="26" spans="1:13" ht="23" customHeight="1">
      <c r="A26" s="43" t="s">
        <v>178</v>
      </c>
      <c r="B26" s="17" t="s">
        <v>186</v>
      </c>
      <c r="C26" s="17">
        <f>'MEMÓRIA DE CÁLCULO'!C26</f>
        <v>40602</v>
      </c>
      <c r="D26" s="292" t="str">
        <f>'MEMÓRIA DE CÁLCULO'!D26</f>
        <v xml:space="preserve">CONCRETO BETUMINOSO USINADO À QUENTE-CBUQ (AC/BC) </v>
      </c>
      <c r="E26" s="294"/>
      <c r="F26" s="17" t="s">
        <v>8</v>
      </c>
      <c r="G26" s="30">
        <f>'MEMÓRIA DE CÁLCULO'!I26</f>
        <v>2987.6234999999997</v>
      </c>
      <c r="H26" s="22">
        <f>'MEMÓRIA DE CÁLCULO'!J26</f>
        <v>468.6</v>
      </c>
      <c r="I26" s="22">
        <f>G26*H26</f>
        <v>1400000.3721</v>
      </c>
      <c r="J26" s="1"/>
      <c r="K26" s="50"/>
    </row>
    <row r="27" spans="1:13" ht="23" customHeight="1">
      <c r="A27" s="43" t="s">
        <v>179</v>
      </c>
      <c r="B27" s="17" t="s">
        <v>186</v>
      </c>
      <c r="C27" s="17">
        <f>'MEMÓRIA DE CÁLCULO'!C27</f>
        <v>40460</v>
      </c>
      <c r="D27" s="292" t="str">
        <f>'MEMÓRIA DE CÁLCULO'!D27</f>
        <v>TRANSPORTE COMERCIAL DE MASSA ASFÁLTICA</v>
      </c>
      <c r="E27" s="294"/>
      <c r="F27" s="17" t="s">
        <v>11</v>
      </c>
      <c r="G27" s="30">
        <f>G26*'DADOS '!A14*'DADOS '!B14</f>
        <v>255143.04689999996</v>
      </c>
      <c r="H27" s="22">
        <f>'MEMÓRIA DE CÁLCULO'!J27</f>
        <v>0.99</v>
      </c>
      <c r="I27" s="22">
        <f t="shared" si="1"/>
        <v>252591.61643099994</v>
      </c>
      <c r="J27" s="1"/>
      <c r="K27" s="1"/>
    </row>
    <row r="28" spans="1:13" ht="23" customHeight="1">
      <c r="A28" s="43" t="s">
        <v>180</v>
      </c>
      <c r="B28" s="17" t="s">
        <v>186</v>
      </c>
      <c r="C28" s="17">
        <f>'MEMÓRIA DE CÁLCULO'!C28</f>
        <v>40455</v>
      </c>
      <c r="D28" s="292" t="str">
        <f>'MEMÓRIA DE CÁLCULO'!D28</f>
        <v xml:space="preserve">TRANSPORTE COMERCIAL DE AGREGADO </v>
      </c>
      <c r="E28" s="294"/>
      <c r="F28" s="17" t="s">
        <v>10</v>
      </c>
      <c r="G28" s="30">
        <f>((G26*'DADOS '!A14*'DADOS '!D14)/'DADOS '!E14)*'DADOS '!C14</f>
        <v>140189.12816934855</v>
      </c>
      <c r="H28" s="22">
        <f>'MEMÓRIA DE CÁLCULO'!J28</f>
        <v>1.49</v>
      </c>
      <c r="I28" s="22">
        <f t="shared" si="1"/>
        <v>208881.80097232934</v>
      </c>
      <c r="J28" s="1"/>
      <c r="K28" s="1"/>
      <c r="M28" t="s">
        <v>9</v>
      </c>
    </row>
    <row r="29" spans="1:13" ht="23" customHeight="1">
      <c r="A29" s="43" t="s">
        <v>212</v>
      </c>
      <c r="B29" s="17" t="s">
        <v>186</v>
      </c>
      <c r="C29" s="17">
        <f>'MEMÓRIA DE CÁLCULO'!C29</f>
        <v>44450</v>
      </c>
      <c r="D29" s="292" t="str">
        <f>'MEMÓRIA DE CÁLCULO'!D29</f>
        <v>MEIO FIO SEM SARJETA - MFU01</v>
      </c>
      <c r="E29" s="294"/>
      <c r="F29" s="17" t="s">
        <v>12</v>
      </c>
      <c r="G29" s="30">
        <f>'DADOS '!F12</f>
        <v>11452.95</v>
      </c>
      <c r="H29" s="22">
        <f>'MEMÓRIA DE CÁLCULO'!J29</f>
        <v>10.47</v>
      </c>
      <c r="I29" s="22">
        <f t="shared" si="1"/>
        <v>119912.38650000001</v>
      </c>
      <c r="J29" s="1"/>
      <c r="K29" s="1"/>
    </row>
    <row r="30" spans="1:13" ht="23" customHeight="1">
      <c r="A30" s="43" t="s">
        <v>213</v>
      </c>
      <c r="B30" s="17" t="s">
        <v>186</v>
      </c>
      <c r="C30" s="17">
        <f>'MEMÓRIA DE CÁLCULO'!C30</f>
        <v>44455</v>
      </c>
      <c r="D30" s="292" t="str">
        <f>'MEMÓRIA DE CÁLCULO'!D30</f>
        <v>MEIO FIO COM SARJETA - MFU02</v>
      </c>
      <c r="E30" s="294"/>
      <c r="F30" s="17" t="s">
        <v>12</v>
      </c>
      <c r="G30" s="30">
        <f>'DADOS '!E16</f>
        <v>11452.95</v>
      </c>
      <c r="H30" s="22">
        <f>'MEMÓRIA DE CÁLCULO'!J30</f>
        <v>33.61</v>
      </c>
      <c r="I30" s="22">
        <f t="shared" si="1"/>
        <v>384933.6495</v>
      </c>
      <c r="J30" s="1"/>
      <c r="K30" s="1"/>
    </row>
    <row r="31" spans="1:13" ht="23" customHeight="1">
      <c r="A31" s="306" t="s">
        <v>225</v>
      </c>
      <c r="B31" s="307"/>
      <c r="C31" s="307"/>
      <c r="D31" s="307"/>
      <c r="E31" s="307"/>
      <c r="F31" s="307"/>
      <c r="G31" s="307"/>
      <c r="H31" s="308"/>
      <c r="I31" s="14">
        <f>SUM(I20:I30)</f>
        <v>6379731.2822033297</v>
      </c>
      <c r="J31" s="1"/>
      <c r="K31" s="1"/>
    </row>
    <row r="32" spans="1:13" ht="23" customHeight="1">
      <c r="A32" s="4" t="s">
        <v>171</v>
      </c>
      <c r="B32" s="21" t="s">
        <v>2</v>
      </c>
      <c r="C32" s="21" t="s">
        <v>3</v>
      </c>
      <c r="D32" s="270" t="s">
        <v>214</v>
      </c>
      <c r="E32" s="270"/>
      <c r="F32" s="21" t="s">
        <v>4</v>
      </c>
      <c r="G32" s="29" t="s">
        <v>6</v>
      </c>
      <c r="H32" s="21" t="s">
        <v>15</v>
      </c>
      <c r="I32" s="21" t="s">
        <v>16</v>
      </c>
      <c r="J32" s="1"/>
      <c r="K32" s="1"/>
    </row>
    <row r="33" spans="1:13" ht="23" customHeight="1">
      <c r="A33" s="17" t="s">
        <v>172</v>
      </c>
      <c r="B33" s="17" t="s">
        <v>186</v>
      </c>
      <c r="C33" s="23">
        <v>45410</v>
      </c>
      <c r="D33" s="292" t="s">
        <v>155</v>
      </c>
      <c r="E33" s="294"/>
      <c r="F33" s="23" t="s">
        <v>8</v>
      </c>
      <c r="G33" s="35">
        <f>'MEMÓRIA DE CÁLCULO'!I33</f>
        <v>400</v>
      </c>
      <c r="H33" s="36">
        <f>'MEMÓRIA DE CÁLCULO'!J33</f>
        <v>13.01</v>
      </c>
      <c r="I33" s="22">
        <f t="shared" ref="I33:I39" si="2">G33*H33</f>
        <v>5204</v>
      </c>
      <c r="J33" s="1"/>
      <c r="K33" s="1"/>
    </row>
    <row r="34" spans="1:13" s="1" customFormat="1" ht="23" customHeight="1">
      <c r="A34" s="17" t="s">
        <v>173</v>
      </c>
      <c r="B34" s="17" t="s">
        <v>186</v>
      </c>
      <c r="C34" s="23">
        <v>45580</v>
      </c>
      <c r="D34" s="292" t="s">
        <v>157</v>
      </c>
      <c r="E34" s="294"/>
      <c r="F34" s="23" t="s">
        <v>8</v>
      </c>
      <c r="G34" s="35">
        <f>'MEMÓRIA DE CÁLCULO'!I34</f>
        <v>20</v>
      </c>
      <c r="H34" s="36">
        <f>'MEMÓRIA DE CÁLCULO'!J34</f>
        <v>193.13</v>
      </c>
      <c r="I34" s="22">
        <f t="shared" si="2"/>
        <v>3862.6</v>
      </c>
    </row>
    <row r="35" spans="1:13" ht="23" customHeight="1">
      <c r="A35" s="17" t="s">
        <v>174</v>
      </c>
      <c r="B35" s="17" t="s">
        <v>186</v>
      </c>
      <c r="C35" s="23">
        <v>45455</v>
      </c>
      <c r="D35" s="285" t="s">
        <v>154</v>
      </c>
      <c r="E35" s="287"/>
      <c r="F35" s="23" t="s">
        <v>12</v>
      </c>
      <c r="G35" s="35">
        <f>'MEMÓRIA DE CÁLCULO'!I35</f>
        <v>100</v>
      </c>
      <c r="H35" s="36">
        <f>'MEMÓRIA DE CÁLCULO'!J35</f>
        <v>942.92</v>
      </c>
      <c r="I35" s="22">
        <f t="shared" si="2"/>
        <v>94292</v>
      </c>
    </row>
    <row r="36" spans="1:13" ht="23" customHeight="1">
      <c r="A36" s="17" t="s">
        <v>215</v>
      </c>
      <c r="B36" s="17" t="s">
        <v>186</v>
      </c>
      <c r="C36" s="23">
        <v>45435</v>
      </c>
      <c r="D36" s="292" t="s">
        <v>156</v>
      </c>
      <c r="E36" s="294"/>
      <c r="F36" s="23" t="s">
        <v>8</v>
      </c>
      <c r="G36" s="35">
        <f>'MEMÓRIA DE CÁLCULO'!I36</f>
        <v>200</v>
      </c>
      <c r="H36" s="36">
        <f>'MEMÓRIA DE CÁLCULO'!J36</f>
        <v>13.24</v>
      </c>
      <c r="I36" s="22">
        <f t="shared" si="2"/>
        <v>2648</v>
      </c>
      <c r="L36" s="33"/>
      <c r="M36" s="47"/>
    </row>
    <row r="37" spans="1:13" ht="23" customHeight="1">
      <c r="A37" s="17" t="s">
        <v>216</v>
      </c>
      <c r="B37" s="17" t="s">
        <v>186</v>
      </c>
      <c r="C37" s="23">
        <v>41856</v>
      </c>
      <c r="D37" s="292" t="s">
        <v>153</v>
      </c>
      <c r="E37" s="294"/>
      <c r="F37" s="23" t="s">
        <v>4</v>
      </c>
      <c r="G37" s="35">
        <f>'MEMÓRIA DE CÁLCULO'!I37</f>
        <v>10</v>
      </c>
      <c r="H37" s="36">
        <f>'MEMÓRIA DE CÁLCULO'!J37</f>
        <v>1313.43</v>
      </c>
      <c r="I37" s="22">
        <f t="shared" si="2"/>
        <v>13134.300000000001</v>
      </c>
    </row>
    <row r="38" spans="1:13" ht="23" customHeight="1">
      <c r="A38" s="17" t="s">
        <v>289</v>
      </c>
      <c r="B38" s="17" t="s">
        <v>186</v>
      </c>
      <c r="C38" s="23">
        <v>41385</v>
      </c>
      <c r="D38" s="292" t="s">
        <v>150</v>
      </c>
      <c r="E38" s="294"/>
      <c r="F38" s="23" t="s">
        <v>4</v>
      </c>
      <c r="G38" s="35">
        <f>'MEMÓRIA DE CÁLCULO'!I38</f>
        <v>42</v>
      </c>
      <c r="H38" s="36">
        <f>'MEMÓRIA DE CÁLCULO'!J38</f>
        <v>65.930000000000007</v>
      </c>
      <c r="I38" s="22">
        <f t="shared" si="2"/>
        <v>2769.0600000000004</v>
      </c>
    </row>
    <row r="39" spans="1:13" ht="23" customHeight="1">
      <c r="A39" s="17" t="s">
        <v>217</v>
      </c>
      <c r="B39" s="17" t="s">
        <v>186</v>
      </c>
      <c r="C39" s="23">
        <v>41372</v>
      </c>
      <c r="D39" s="288" t="s">
        <v>149</v>
      </c>
      <c r="E39" s="288"/>
      <c r="F39" s="23" t="s">
        <v>4</v>
      </c>
      <c r="G39" s="35">
        <f>'MEMÓRIA DE CÁLCULO'!I39</f>
        <v>47</v>
      </c>
      <c r="H39" s="36">
        <f>'MEMÓRIA DE CÁLCULO'!J39</f>
        <v>497.72</v>
      </c>
      <c r="I39" s="22">
        <f t="shared" si="2"/>
        <v>23392.84</v>
      </c>
    </row>
    <row r="40" spans="1:13" ht="23" customHeight="1">
      <c r="A40" s="17" t="s">
        <v>218</v>
      </c>
      <c r="B40" s="17" t="s">
        <v>186</v>
      </c>
      <c r="C40" s="23">
        <v>41414</v>
      </c>
      <c r="D40" s="285" t="s">
        <v>94</v>
      </c>
      <c r="E40" s="287"/>
      <c r="F40" s="23" t="s">
        <v>12</v>
      </c>
      <c r="G40" s="35">
        <f>'MEMÓRIA DE CÁLCULO'!I40</f>
        <v>290</v>
      </c>
      <c r="H40" s="36">
        <f>'MEMÓRIA DE CÁLCULO'!J40</f>
        <v>110.44</v>
      </c>
      <c r="I40" s="22">
        <f>G40*H40</f>
        <v>32027.599999999999</v>
      </c>
    </row>
    <row r="41" spans="1:13" ht="23" customHeight="1">
      <c r="A41" s="306" t="s">
        <v>225</v>
      </c>
      <c r="B41" s="307"/>
      <c r="C41" s="307"/>
      <c r="D41" s="307"/>
      <c r="E41" s="307"/>
      <c r="F41" s="307"/>
      <c r="G41" s="307"/>
      <c r="H41" s="308"/>
      <c r="I41" s="38">
        <f>SUM(I33:I40)</f>
        <v>177330.40000000002</v>
      </c>
      <c r="J41" s="1"/>
      <c r="K41" s="1"/>
    </row>
    <row r="42" spans="1:13" ht="23" customHeight="1">
      <c r="A42" s="4" t="s">
        <v>145</v>
      </c>
      <c r="B42" s="21" t="s">
        <v>2</v>
      </c>
      <c r="C42" s="21" t="s">
        <v>3</v>
      </c>
      <c r="D42" s="270" t="s">
        <v>220</v>
      </c>
      <c r="E42" s="270"/>
      <c r="F42" s="21" t="s">
        <v>4</v>
      </c>
      <c r="G42" s="29" t="s">
        <v>6</v>
      </c>
      <c r="H42" s="21" t="s">
        <v>15</v>
      </c>
      <c r="I42" s="21" t="s">
        <v>16</v>
      </c>
      <c r="J42" s="1"/>
      <c r="K42" s="1"/>
    </row>
    <row r="43" spans="1:13" ht="23" customHeight="1">
      <c r="A43" s="17" t="s">
        <v>146</v>
      </c>
      <c r="B43" s="17" t="s">
        <v>186</v>
      </c>
      <c r="C43" s="23">
        <v>40810</v>
      </c>
      <c r="D43" s="314" t="s">
        <v>221</v>
      </c>
      <c r="E43" s="315"/>
      <c r="F43" s="23" t="s">
        <v>12</v>
      </c>
      <c r="G43" s="35">
        <f>'MEMÓRIA DE CÁLCULO'!I43</f>
        <v>900</v>
      </c>
      <c r="H43" s="36">
        <f>'MEMÓRIA DE CÁLCULO'!J43</f>
        <v>631.4</v>
      </c>
      <c r="I43" s="22">
        <f>G43*H43</f>
        <v>568260</v>
      </c>
      <c r="J43" s="1"/>
      <c r="K43" s="1"/>
    </row>
    <row r="44" spans="1:13" ht="23" customHeight="1">
      <c r="A44" s="17" t="s">
        <v>147</v>
      </c>
      <c r="B44" s="17" t="s">
        <v>186</v>
      </c>
      <c r="C44" s="23">
        <v>40451</v>
      </c>
      <c r="D44" s="292" t="s">
        <v>222</v>
      </c>
      <c r="E44" s="294"/>
      <c r="F44" s="23" t="s">
        <v>223</v>
      </c>
      <c r="G44" s="35">
        <f>'MEMÓRIA DE CÁLCULO'!I44</f>
        <v>12495.6</v>
      </c>
      <c r="H44" s="36">
        <f>'MEMÓRIA DE CÁLCULO'!J44</f>
        <v>0.83</v>
      </c>
      <c r="I44" s="22">
        <f>G44*H44</f>
        <v>10371.348</v>
      </c>
      <c r="J44" s="1"/>
      <c r="K44" s="1"/>
    </row>
    <row r="45" spans="1:13" ht="23" customHeight="1">
      <c r="A45" s="17" t="s">
        <v>304</v>
      </c>
      <c r="B45" s="17" t="s">
        <v>186</v>
      </c>
      <c r="C45" s="23">
        <f>'MEMÓRIA DE CÁLCULO'!C45</f>
        <v>40890</v>
      </c>
      <c r="D45" s="292" t="str">
        <f>'MEMÓRIA DE CÁLCULO'!D45:F45</f>
        <v>REVESTIMENTO VEGETAL POR HIDROSSEMEADURA</v>
      </c>
      <c r="E45" s="294"/>
      <c r="F45" s="23" t="str">
        <f>'MEMÓRIA DE CÁLCULO'!G45</f>
        <v>m²</v>
      </c>
      <c r="G45" s="35">
        <f>'MEMÓRIA DE CÁLCULO'!I45</f>
        <v>8030.45</v>
      </c>
      <c r="H45" s="36">
        <f>'MEMÓRIA DE CÁLCULO'!J45</f>
        <v>8.4600000000000009</v>
      </c>
      <c r="I45" s="22">
        <f>G45*H45</f>
        <v>67937.607000000004</v>
      </c>
      <c r="J45" s="1"/>
      <c r="K45" s="1"/>
    </row>
    <row r="46" spans="1:13" ht="23" customHeight="1">
      <c r="A46" s="306" t="s">
        <v>225</v>
      </c>
      <c r="B46" s="307"/>
      <c r="C46" s="307"/>
      <c r="D46" s="307"/>
      <c r="E46" s="307"/>
      <c r="F46" s="307"/>
      <c r="G46" s="307"/>
      <c r="H46" s="308"/>
      <c r="I46" s="14">
        <f>SUM(I43:I45)</f>
        <v>646568.95499999996</v>
      </c>
      <c r="J46" s="1"/>
      <c r="M46" s="47"/>
    </row>
    <row r="47" spans="1:13" ht="23" customHeight="1">
      <c r="A47" s="4" t="s">
        <v>239</v>
      </c>
      <c r="B47" s="21" t="s">
        <v>2</v>
      </c>
      <c r="C47" s="21" t="s">
        <v>3</v>
      </c>
      <c r="D47" s="258" t="s">
        <v>23</v>
      </c>
      <c r="E47" s="260"/>
      <c r="F47" s="21" t="s">
        <v>4</v>
      </c>
      <c r="G47" s="29" t="s">
        <v>6</v>
      </c>
      <c r="H47" s="21" t="s">
        <v>15</v>
      </c>
      <c r="I47" s="21" t="s">
        <v>16</v>
      </c>
      <c r="J47" s="1"/>
      <c r="K47" s="1"/>
    </row>
    <row r="48" spans="1:13" ht="23" customHeight="1">
      <c r="A48" s="17" t="s">
        <v>240</v>
      </c>
      <c r="B48" s="17" t="s">
        <v>18</v>
      </c>
      <c r="C48" s="17" t="s">
        <v>19</v>
      </c>
      <c r="D48" s="312" t="s">
        <v>88</v>
      </c>
      <c r="E48" s="313"/>
      <c r="F48" s="17" t="s">
        <v>55</v>
      </c>
      <c r="G48" s="189">
        <f>'MEMÓRIA DE CÁLCULO'!I48</f>
        <v>105.36</v>
      </c>
      <c r="H48" s="22">
        <f>'MEMÓRIA DE CÁLCULO'!J48</f>
        <v>4226.5571303895767</v>
      </c>
      <c r="I48" s="22">
        <f>H48*G48</f>
        <v>445310.0592578458</v>
      </c>
      <c r="J48" s="1"/>
      <c r="K48" s="1"/>
    </row>
    <row r="49" spans="1:12" ht="23" customHeight="1">
      <c r="A49" s="17" t="s">
        <v>241</v>
      </c>
      <c r="B49" s="17" t="s">
        <v>18</v>
      </c>
      <c r="C49" s="17" t="s">
        <v>19</v>
      </c>
      <c r="D49" s="312" t="s">
        <v>25</v>
      </c>
      <c r="E49" s="313"/>
      <c r="F49" s="17" t="s">
        <v>55</v>
      </c>
      <c r="G49" s="189">
        <f>'MEMÓRIA DE CÁLCULO'!I49</f>
        <v>51.53</v>
      </c>
      <c r="H49" s="22">
        <f>'MEMÓRIA DE CÁLCULO'!J49</f>
        <v>4720.8551303895774</v>
      </c>
      <c r="I49" s="22">
        <f>H49*G49</f>
        <v>243265.66486897494</v>
      </c>
      <c r="J49" s="1"/>
      <c r="K49" s="49"/>
    </row>
    <row r="50" spans="1:12" ht="23" customHeight="1">
      <c r="A50" s="17" t="s">
        <v>242</v>
      </c>
      <c r="B50" s="17" t="s">
        <v>18</v>
      </c>
      <c r="C50" s="17" t="s">
        <v>19</v>
      </c>
      <c r="D50" s="309" t="s">
        <v>24</v>
      </c>
      <c r="E50" s="309"/>
      <c r="F50" s="17" t="s">
        <v>55</v>
      </c>
      <c r="G50" s="189">
        <f>'MEMÓRIA DE CÁLCULO'!I50</f>
        <v>379.06</v>
      </c>
      <c r="H50" s="22">
        <f>'MEMÓRIA DE CÁLCULO'!J50</f>
        <v>5834.1316327992163</v>
      </c>
      <c r="I50" s="22">
        <f>H50*G50</f>
        <v>2211485.936728871</v>
      </c>
      <c r="J50" s="1"/>
      <c r="K50" s="1"/>
    </row>
    <row r="51" spans="1:12" ht="23" customHeight="1">
      <c r="A51" s="306" t="s">
        <v>225</v>
      </c>
      <c r="B51" s="307"/>
      <c r="C51" s="307"/>
      <c r="D51" s="307"/>
      <c r="E51" s="307"/>
      <c r="F51" s="307"/>
      <c r="G51" s="307"/>
      <c r="H51" s="308"/>
      <c r="I51" s="14">
        <f>SUM(I48:I50)</f>
        <v>2900061.6608556919</v>
      </c>
      <c r="J51" s="1"/>
      <c r="K51" s="1"/>
    </row>
    <row r="52" spans="1:12" ht="23" customHeight="1">
      <c r="A52" s="4" t="s">
        <v>243</v>
      </c>
      <c r="B52" s="21" t="s">
        <v>2</v>
      </c>
      <c r="C52" s="21" t="s">
        <v>3</v>
      </c>
      <c r="D52" s="258" t="s">
        <v>224</v>
      </c>
      <c r="E52" s="260"/>
      <c r="F52" s="21" t="s">
        <v>4</v>
      </c>
      <c r="G52" s="29" t="s">
        <v>6</v>
      </c>
      <c r="H52" s="21" t="s">
        <v>15</v>
      </c>
      <c r="I52" s="21" t="s">
        <v>16</v>
      </c>
      <c r="J52" s="1"/>
      <c r="K52" s="1"/>
    </row>
    <row r="53" spans="1:12" ht="23" customHeight="1">
      <c r="A53" s="43" t="s">
        <v>244</v>
      </c>
      <c r="B53" s="17" t="s">
        <v>187</v>
      </c>
      <c r="C53" s="51" t="s">
        <v>226</v>
      </c>
      <c r="D53" s="255" t="s">
        <v>249</v>
      </c>
      <c r="E53" s="257"/>
      <c r="F53" s="22" t="s">
        <v>4</v>
      </c>
      <c r="G53" s="35">
        <v>1</v>
      </c>
      <c r="H53" s="52">
        <f>'MEMÓRIA DE CÁLCULO'!J53</f>
        <v>99372.313200000004</v>
      </c>
      <c r="I53" s="22">
        <f>G53*H53</f>
        <v>99372.313200000004</v>
      </c>
      <c r="J53" s="1"/>
      <c r="K53" s="50"/>
    </row>
    <row r="54" spans="1:12" ht="23" customHeight="1">
      <c r="A54" s="43" t="s">
        <v>245</v>
      </c>
      <c r="B54" s="17" t="s">
        <v>187</v>
      </c>
      <c r="C54" s="51" t="s">
        <v>227</v>
      </c>
      <c r="D54" s="255" t="s">
        <v>250</v>
      </c>
      <c r="E54" s="257"/>
      <c r="F54" s="22" t="s">
        <v>4</v>
      </c>
      <c r="G54" s="35">
        <v>1</v>
      </c>
      <c r="H54" s="52">
        <f>'MEMÓRIA DE CÁLCULO'!J54</f>
        <v>115399.22636100001</v>
      </c>
      <c r="I54" s="22">
        <f>G54*H54</f>
        <v>115399.22636100001</v>
      </c>
      <c r="J54" s="1"/>
      <c r="K54" s="1"/>
    </row>
    <row r="55" spans="1:12" ht="23" customHeight="1">
      <c r="A55" s="306" t="s">
        <v>225</v>
      </c>
      <c r="B55" s="307"/>
      <c r="C55" s="307"/>
      <c r="D55" s="307"/>
      <c r="E55" s="307"/>
      <c r="F55" s="307"/>
      <c r="G55" s="307"/>
      <c r="H55" s="308"/>
      <c r="I55" s="14">
        <f>SUM(I53:I54)</f>
        <v>214771.53956100001</v>
      </c>
      <c r="J55" s="1"/>
      <c r="K55" s="50"/>
      <c r="L55" s="145"/>
    </row>
    <row r="56" spans="1:12" ht="23" customHeight="1">
      <c r="A56" s="4" t="s">
        <v>246</v>
      </c>
      <c r="B56" s="21" t="s">
        <v>2</v>
      </c>
      <c r="C56" s="21" t="s">
        <v>3</v>
      </c>
      <c r="D56" s="258" t="s">
        <v>228</v>
      </c>
      <c r="E56" s="260"/>
      <c r="F56" s="21" t="s">
        <v>4</v>
      </c>
      <c r="G56" s="29" t="s">
        <v>6</v>
      </c>
      <c r="H56" s="21" t="s">
        <v>15</v>
      </c>
      <c r="I56" s="21" t="s">
        <v>16</v>
      </c>
      <c r="J56" s="1"/>
      <c r="K56" s="50"/>
    </row>
    <row r="57" spans="1:12" ht="23" customHeight="1">
      <c r="A57" s="43" t="s">
        <v>247</v>
      </c>
      <c r="B57" s="17" t="s">
        <v>187</v>
      </c>
      <c r="C57" s="51" t="s">
        <v>229</v>
      </c>
      <c r="D57" s="255" t="s">
        <v>228</v>
      </c>
      <c r="E57" s="257"/>
      <c r="F57" s="22" t="s">
        <v>4</v>
      </c>
      <c r="G57" s="35">
        <v>6</v>
      </c>
      <c r="H57" s="52">
        <f>'MEMÓRIA DE CÁLCULO'!J57</f>
        <v>90606.418046999999</v>
      </c>
      <c r="I57" s="22">
        <f>G57*H57</f>
        <v>543638.50828199997</v>
      </c>
      <c r="J57" s="1"/>
      <c r="K57" s="53"/>
    </row>
    <row r="58" spans="1:12" ht="23" customHeight="1">
      <c r="A58" s="306" t="s">
        <v>225</v>
      </c>
      <c r="B58" s="307"/>
      <c r="C58" s="307"/>
      <c r="D58" s="307"/>
      <c r="E58" s="307"/>
      <c r="F58" s="307"/>
      <c r="G58" s="307"/>
      <c r="H58" s="308"/>
      <c r="I58" s="14">
        <f>I57</f>
        <v>543638.50828199997</v>
      </c>
      <c r="J58" s="1"/>
      <c r="K58" s="53">
        <f>I58/(I18+I31+I41+I46+I51+I55)</f>
        <v>3.2843149280824692E-2</v>
      </c>
    </row>
    <row r="59" spans="1:12" ht="23" customHeight="1">
      <c r="A59" s="1"/>
      <c r="B59" s="1"/>
      <c r="C59" s="1"/>
      <c r="D59" s="1"/>
      <c r="E59" s="1"/>
      <c r="F59" s="1"/>
      <c r="G59" s="264" t="s">
        <v>254</v>
      </c>
      <c r="H59" s="265"/>
      <c r="I59" s="266"/>
      <c r="J59" s="1"/>
      <c r="K59" s="1"/>
    </row>
    <row r="60" spans="1:12" ht="23" customHeight="1">
      <c r="A60" s="291" t="s">
        <v>252</v>
      </c>
      <c r="B60" s="291"/>
      <c r="C60" s="291"/>
      <c r="D60" s="291"/>
      <c r="E60" s="291"/>
      <c r="F60" s="8"/>
      <c r="G60" s="310" t="s">
        <v>152</v>
      </c>
      <c r="H60" s="311"/>
      <c r="I60" s="46">
        <f>E61/('DADOS '!A8*'DADOS '!B8)</f>
        <v>165.85933389701171</v>
      </c>
      <c r="J60" s="7"/>
      <c r="K60" s="1"/>
    </row>
    <row r="61" spans="1:12" ht="23" customHeight="1">
      <c r="A61" s="237" t="s">
        <v>30</v>
      </c>
      <c r="B61" s="237"/>
      <c r="C61" s="237"/>
      <c r="D61" s="237"/>
      <c r="E61" s="9">
        <f>I18+I31+I41+I46+I51++I55+I58</f>
        <v>17096207.923402023</v>
      </c>
      <c r="F61" s="1"/>
      <c r="G61" s="298" t="s">
        <v>151</v>
      </c>
      <c r="H61" s="298"/>
      <c r="I61" s="45">
        <f>ORÇAMENTO!E61/('DADOS '!A8/1000)</f>
        <v>1492734.0050731052</v>
      </c>
      <c r="J61" s="7"/>
      <c r="K61" s="1"/>
    </row>
    <row r="62" spans="1:12" ht="12.75" customHeight="1">
      <c r="A62" s="1"/>
      <c r="B62" s="3"/>
      <c r="C62" s="1"/>
      <c r="D62" s="1"/>
      <c r="E62" s="1"/>
      <c r="J62" s="1"/>
      <c r="K62" s="1"/>
    </row>
    <row r="63" spans="1:12" ht="0.75" hidden="1" customHeight="1">
      <c r="A63" s="1"/>
      <c r="B63" s="1"/>
      <c r="C63" s="1"/>
    </row>
    <row r="64" spans="1:12" hidden="1"/>
    <row r="65" spans="1:13" ht="16">
      <c r="A65" s="297"/>
      <c r="B65" s="297"/>
      <c r="C65" s="297"/>
      <c r="D65" s="297"/>
      <c r="E65" s="297"/>
      <c r="F65" s="297"/>
      <c r="G65" s="297"/>
      <c r="H65" s="297"/>
      <c r="I65" s="297"/>
    </row>
    <row r="66" spans="1:13" ht="17.25" customHeight="1"/>
    <row r="67" spans="1:13" ht="17.25" customHeight="1">
      <c r="A67" s="225" t="s">
        <v>85</v>
      </c>
      <c r="B67" s="225"/>
      <c r="C67" s="225"/>
      <c r="D67" s="225"/>
      <c r="E67" s="225"/>
      <c r="F67" s="225"/>
      <c r="G67" s="225"/>
      <c r="H67" s="225"/>
      <c r="I67" s="225"/>
      <c r="J67" s="25"/>
      <c r="K67" s="16"/>
      <c r="L67" s="16"/>
      <c r="M67" s="16"/>
    </row>
    <row r="68" spans="1:13" ht="15" customHeight="1">
      <c r="A68" s="226" t="s">
        <v>83</v>
      </c>
      <c r="B68" s="226"/>
      <c r="C68" s="226"/>
      <c r="D68" s="226"/>
      <c r="E68" s="226"/>
      <c r="F68" s="226"/>
      <c r="G68" s="226"/>
      <c r="H68" s="226"/>
      <c r="I68" s="226"/>
      <c r="J68" s="24"/>
    </row>
    <row r="69" spans="1:13" ht="16">
      <c r="A69" s="226" t="s">
        <v>84</v>
      </c>
      <c r="B69" s="226"/>
      <c r="C69" s="226"/>
      <c r="D69" s="226"/>
      <c r="E69" s="226"/>
      <c r="F69" s="226"/>
      <c r="G69" s="226"/>
      <c r="H69" s="226"/>
      <c r="I69" s="226"/>
      <c r="J69" s="24"/>
    </row>
    <row r="70" spans="1:13" ht="15" customHeight="1">
      <c r="A70" s="1"/>
      <c r="B70" s="1"/>
      <c r="C70" s="1"/>
    </row>
    <row r="72" spans="1:13" ht="15" customHeight="1">
      <c r="A72" s="1"/>
      <c r="B72" s="1"/>
      <c r="C72" s="1"/>
    </row>
    <row r="74" spans="1:13" ht="15" customHeight="1"/>
    <row r="75" spans="1:13">
      <c r="A75" s="2"/>
      <c r="B75" s="2"/>
      <c r="C75" s="2"/>
    </row>
    <row r="76" spans="1:13">
      <c r="A76" s="1"/>
      <c r="B76" s="1"/>
      <c r="C76" s="1"/>
    </row>
    <row r="77" spans="1:13">
      <c r="A77" s="1"/>
      <c r="B77" s="1"/>
      <c r="C77" s="1"/>
    </row>
    <row r="79" spans="1:13">
      <c r="A79" s="1"/>
      <c r="B79" s="1"/>
      <c r="C79" s="1"/>
    </row>
    <row r="82" spans="1:20">
      <c r="A82" s="2"/>
      <c r="B82" s="2"/>
      <c r="C82" s="2"/>
    </row>
    <row r="83" spans="1:20" s="33" customFormat="1">
      <c r="A83" s="1"/>
      <c r="B83" s="1"/>
      <c r="C83" s="1"/>
      <c r="D83"/>
      <c r="E83"/>
      <c r="F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3" customFormat="1">
      <c r="A84" s="1"/>
      <c r="B84" s="1"/>
      <c r="C84" s="1"/>
      <c r="D84"/>
      <c r="E84"/>
      <c r="F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3" customFormat="1">
      <c r="A85"/>
      <c r="B85"/>
      <c r="C85"/>
      <c r="D85"/>
      <c r="E85"/>
      <c r="F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3" customFormat="1">
      <c r="A86" s="1"/>
      <c r="B86" s="1"/>
      <c r="C86" s="1"/>
      <c r="D86"/>
      <c r="E86"/>
      <c r="F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33" customFormat="1">
      <c r="A87"/>
      <c r="B87"/>
      <c r="C87"/>
      <c r="D87"/>
      <c r="E87"/>
      <c r="F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33" customFormat="1">
      <c r="A88"/>
      <c r="B88"/>
      <c r="C88"/>
      <c r="D88"/>
      <c r="E88"/>
      <c r="F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33" customFormat="1">
      <c r="A89" s="2"/>
      <c r="B89" s="2"/>
      <c r="C89" s="2"/>
      <c r="D89"/>
      <c r="E89"/>
      <c r="F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33" customFormat="1">
      <c r="A90" s="1"/>
      <c r="B90" s="1"/>
      <c r="C90" s="1"/>
      <c r="D90"/>
      <c r="E90"/>
      <c r="F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33" customFormat="1">
      <c r="A91" s="1"/>
      <c r="B91" s="1"/>
      <c r="C91" s="1"/>
      <c r="D91"/>
      <c r="E91"/>
      <c r="F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33" customFormat="1">
      <c r="A92"/>
      <c r="B92"/>
      <c r="C92"/>
      <c r="D92"/>
      <c r="E92"/>
      <c r="F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33" customFormat="1">
      <c r="A93" s="1"/>
      <c r="B93" s="1"/>
      <c r="C93" s="1"/>
      <c r="D93"/>
      <c r="E93"/>
      <c r="F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33" customFormat="1">
      <c r="A94"/>
      <c r="B94"/>
      <c r="C94"/>
      <c r="D94"/>
      <c r="E94"/>
      <c r="F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33" customFormat="1">
      <c r="A95"/>
      <c r="B95"/>
      <c r="C95"/>
      <c r="D95"/>
      <c r="E95"/>
      <c r="F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33" customFormat="1">
      <c r="A96" s="2"/>
      <c r="B96" s="2"/>
      <c r="C96" s="2"/>
      <c r="D96"/>
      <c r="E96"/>
      <c r="F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33" customFormat="1">
      <c r="A97" s="1"/>
      <c r="B97" s="1"/>
      <c r="C97" s="1"/>
      <c r="D97"/>
      <c r="E97"/>
      <c r="F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33" customFormat="1">
      <c r="A98" s="1"/>
      <c r="B98" s="1"/>
      <c r="C98" s="1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33" customFormat="1">
      <c r="A99"/>
      <c r="B99"/>
      <c r="C99"/>
      <c r="D99"/>
      <c r="E99"/>
      <c r="F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33" customFormat="1">
      <c r="A100" s="1"/>
      <c r="B100" s="1"/>
      <c r="C100" s="1"/>
      <c r="D100"/>
      <c r="E100"/>
      <c r="F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33" customFormat="1">
      <c r="A101"/>
      <c r="B101"/>
      <c r="C101"/>
      <c r="D101"/>
      <c r="E101"/>
      <c r="F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33" customFormat="1">
      <c r="A102"/>
      <c r="B102"/>
      <c r="C102"/>
      <c r="D102"/>
      <c r="E102"/>
      <c r="F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33" customFormat="1">
      <c r="A103" s="2"/>
      <c r="B103" s="2"/>
      <c r="C103" s="2"/>
      <c r="D103"/>
      <c r="E103"/>
      <c r="F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33" customFormat="1">
      <c r="A104" s="1"/>
      <c r="B104" s="1"/>
      <c r="C104" s="1"/>
      <c r="D104"/>
      <c r="E104"/>
      <c r="F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33" customFormat="1">
      <c r="A105" s="1"/>
      <c r="B105" s="1"/>
      <c r="C105" s="1"/>
      <c r="D105"/>
      <c r="E105"/>
      <c r="F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33" customFormat="1">
      <c r="A106"/>
      <c r="B106"/>
      <c r="C106"/>
      <c r="D106"/>
      <c r="E106"/>
      <c r="F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33" customFormat="1">
      <c r="A107" s="1"/>
      <c r="B107" s="1"/>
      <c r="C107" s="1"/>
      <c r="D107"/>
      <c r="E107"/>
      <c r="F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33" customFormat="1">
      <c r="A108"/>
      <c r="B108"/>
      <c r="C108"/>
      <c r="D108"/>
      <c r="E108"/>
      <c r="F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33" customFormat="1">
      <c r="A109"/>
      <c r="B109"/>
      <c r="C109"/>
      <c r="D109"/>
      <c r="E109"/>
      <c r="F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33" customFormat="1">
      <c r="A110" s="2"/>
      <c r="B110" s="2"/>
      <c r="C110" s="2"/>
      <c r="D110"/>
      <c r="E110"/>
      <c r="F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33" customFormat="1">
      <c r="A111" s="1"/>
      <c r="B111" s="1"/>
      <c r="C111" s="1"/>
      <c r="D111"/>
      <c r="E111"/>
      <c r="F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33" customFormat="1">
      <c r="A112" s="1"/>
      <c r="B112" s="1"/>
      <c r="C112" s="1"/>
      <c r="D112"/>
      <c r="E112"/>
      <c r="F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33" customFormat="1">
      <c r="A113"/>
      <c r="B113"/>
      <c r="C113"/>
      <c r="D113"/>
      <c r="E113"/>
      <c r="F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33" customFormat="1">
      <c r="A114" s="1"/>
      <c r="B114" s="1"/>
      <c r="C114" s="1"/>
      <c r="D114"/>
      <c r="E114"/>
      <c r="F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33" customFormat="1">
      <c r="A115"/>
      <c r="B115"/>
      <c r="C115"/>
      <c r="D115"/>
      <c r="E115"/>
      <c r="F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33" customFormat="1">
      <c r="A116"/>
      <c r="B116"/>
      <c r="C116"/>
      <c r="D116"/>
      <c r="E116"/>
      <c r="F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33" customFormat="1">
      <c r="A117" s="2"/>
      <c r="B117" s="2"/>
      <c r="C117" s="2"/>
      <c r="D117"/>
      <c r="E117"/>
      <c r="F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33" customFormat="1">
      <c r="A118" s="1"/>
      <c r="B118" s="1"/>
      <c r="C118" s="1"/>
      <c r="D118"/>
      <c r="E118"/>
      <c r="F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33" customFormat="1">
      <c r="A119" s="1"/>
      <c r="B119" s="1"/>
      <c r="C119" s="1"/>
      <c r="D119"/>
      <c r="E119"/>
      <c r="F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33" customFormat="1">
      <c r="A120"/>
      <c r="B120"/>
      <c r="C120"/>
      <c r="D120"/>
      <c r="E120"/>
      <c r="F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33" customFormat="1">
      <c r="A121" s="1"/>
      <c r="B121" s="1"/>
      <c r="C121" s="1"/>
      <c r="D121"/>
      <c r="E121"/>
      <c r="F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33" customFormat="1">
      <c r="A122"/>
      <c r="B122"/>
      <c r="C122"/>
      <c r="D122"/>
      <c r="E122"/>
      <c r="F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33" customFormat="1">
      <c r="A123"/>
      <c r="B123"/>
      <c r="C123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33" customFormat="1">
      <c r="A124" s="2"/>
      <c r="B124" s="2"/>
      <c r="C124" s="2"/>
      <c r="D124"/>
      <c r="E124"/>
      <c r="F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33" customFormat="1">
      <c r="A125" s="1"/>
      <c r="B125" s="1"/>
      <c r="C125" s="1"/>
      <c r="D125"/>
      <c r="E125"/>
      <c r="F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33" customFormat="1">
      <c r="A126" s="1"/>
      <c r="B126" s="1"/>
      <c r="C126" s="1"/>
      <c r="D126"/>
      <c r="E126"/>
      <c r="F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33" customFormat="1">
      <c r="A127"/>
      <c r="B127"/>
      <c r="C127"/>
      <c r="D127"/>
      <c r="E127"/>
      <c r="F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33" customFormat="1">
      <c r="A128" s="1"/>
      <c r="B128" s="1"/>
      <c r="C128" s="1"/>
      <c r="D128"/>
      <c r="E128"/>
      <c r="F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33" customFormat="1">
      <c r="A129"/>
      <c r="B129"/>
      <c r="C129"/>
      <c r="D129"/>
      <c r="E129"/>
      <c r="F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33" customFormat="1">
      <c r="A130"/>
      <c r="B130"/>
      <c r="C130"/>
      <c r="D130"/>
      <c r="E130"/>
      <c r="F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33" customFormat="1">
      <c r="A131" s="2"/>
      <c r="B131" s="2"/>
      <c r="C131" s="2"/>
      <c r="D131"/>
      <c r="E131"/>
      <c r="F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33" customFormat="1">
      <c r="A132" s="1"/>
      <c r="B132" s="1"/>
      <c r="C132" s="1"/>
      <c r="D132"/>
      <c r="E132"/>
      <c r="F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33" customFormat="1">
      <c r="A133" s="1"/>
      <c r="B133" s="1"/>
      <c r="C133" s="1"/>
      <c r="D133"/>
      <c r="E133"/>
      <c r="F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33" customFormat="1">
      <c r="A134"/>
      <c r="B134"/>
      <c r="C134"/>
      <c r="D134"/>
      <c r="E134"/>
      <c r="F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33" customFormat="1">
      <c r="A135" s="1"/>
      <c r="B135" s="1"/>
      <c r="C135" s="1"/>
      <c r="D135"/>
      <c r="E135"/>
      <c r="F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33" customFormat="1">
      <c r="A136"/>
      <c r="B136"/>
      <c r="C136"/>
      <c r="D136"/>
      <c r="E136"/>
      <c r="F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33" customFormat="1">
      <c r="A137"/>
      <c r="B137"/>
      <c r="C137"/>
      <c r="D137"/>
      <c r="E137"/>
      <c r="F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s="33" customFormat="1">
      <c r="A138" s="2"/>
      <c r="B138" s="2"/>
      <c r="C138" s="2"/>
      <c r="D138"/>
      <c r="E138"/>
      <c r="F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33" customFormat="1">
      <c r="A139" s="1"/>
      <c r="B139" s="1"/>
      <c r="C139" s="1"/>
      <c r="D139"/>
      <c r="E139"/>
      <c r="F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s="33" customFormat="1">
      <c r="A140" s="1"/>
      <c r="B140" s="1"/>
      <c r="C140" s="1"/>
      <c r="D140"/>
      <c r="E140"/>
      <c r="F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33" customFormat="1">
      <c r="A141"/>
      <c r="B141"/>
      <c r="C141"/>
      <c r="D141"/>
      <c r="E141"/>
      <c r="F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33" customFormat="1">
      <c r="A142" s="1"/>
      <c r="B142" s="1"/>
      <c r="C142" s="1"/>
      <c r="D142"/>
      <c r="E142"/>
      <c r="F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33" customFormat="1">
      <c r="A143"/>
      <c r="B143"/>
      <c r="C143"/>
      <c r="D143"/>
      <c r="E143"/>
      <c r="F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33" customFormat="1">
      <c r="A144"/>
      <c r="B144"/>
      <c r="C144"/>
      <c r="D144"/>
      <c r="E144"/>
      <c r="F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33" customFormat="1">
      <c r="A145" s="2"/>
      <c r="B145" s="2"/>
      <c r="C145" s="2"/>
      <c r="D145"/>
      <c r="E145"/>
      <c r="F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s="33" customFormat="1">
      <c r="A146" s="1"/>
      <c r="B146" s="1"/>
      <c r="C146" s="1"/>
      <c r="D146"/>
      <c r="E146"/>
      <c r="F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s="33" customFormat="1">
      <c r="A147" s="1"/>
      <c r="B147" s="1"/>
      <c r="C147" s="1"/>
      <c r="D147"/>
      <c r="E147"/>
      <c r="F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s="33" customFormat="1">
      <c r="A148"/>
      <c r="B148"/>
      <c r="C148"/>
      <c r="D148"/>
      <c r="E148"/>
      <c r="F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s="33" customFormat="1">
      <c r="A149" s="1"/>
      <c r="B149" s="1"/>
      <c r="C149" s="1"/>
      <c r="D149"/>
      <c r="E149"/>
      <c r="F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s="33" customFormat="1">
      <c r="A150"/>
      <c r="B150"/>
      <c r="C150"/>
      <c r="D150"/>
      <c r="E150"/>
      <c r="F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s="33" customFormat="1">
      <c r="A151"/>
      <c r="B151"/>
      <c r="C151"/>
      <c r="D151"/>
      <c r="E151"/>
      <c r="F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s="33" customFormat="1">
      <c r="A152" s="2"/>
      <c r="B152" s="2"/>
      <c r="C152" s="2"/>
      <c r="D152"/>
      <c r="E152"/>
      <c r="F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s="33" customFormat="1">
      <c r="A153" s="1"/>
      <c r="B153" s="1"/>
      <c r="C153" s="1"/>
      <c r="D153"/>
      <c r="E153"/>
      <c r="F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s="33" customFormat="1">
      <c r="A154" s="1"/>
      <c r="B154" s="1"/>
      <c r="C154" s="1"/>
      <c r="D154"/>
      <c r="E154"/>
      <c r="F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s="33" customFormat="1">
      <c r="A155"/>
      <c r="B155"/>
      <c r="C155"/>
      <c r="D155"/>
      <c r="E155"/>
      <c r="F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s="33" customFormat="1">
      <c r="A156" s="1"/>
      <c r="B156" s="1"/>
      <c r="C156" s="1"/>
      <c r="D156"/>
      <c r="E156"/>
      <c r="F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s="33" customFormat="1">
      <c r="A157"/>
      <c r="B157"/>
      <c r="C157"/>
      <c r="D157"/>
      <c r="E157"/>
      <c r="F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s="33" customFormat="1">
      <c r="A158"/>
      <c r="B158"/>
      <c r="C158"/>
      <c r="D158"/>
      <c r="E158"/>
      <c r="F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s="33" customFormat="1">
      <c r="A159" s="2"/>
      <c r="B159" s="2"/>
      <c r="C159" s="2"/>
      <c r="D159"/>
      <c r="E159"/>
      <c r="F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s="33" customFormat="1">
      <c r="A160" s="1"/>
      <c r="B160" s="1"/>
      <c r="C160" s="1"/>
      <c r="D160"/>
      <c r="E160"/>
      <c r="F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s="33" customFormat="1">
      <c r="A161" s="1"/>
      <c r="B161" s="1"/>
      <c r="C161" s="1"/>
      <c r="D161"/>
      <c r="E161"/>
      <c r="F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s="33" customFormat="1">
      <c r="A162"/>
      <c r="B162"/>
      <c r="C162"/>
      <c r="D162"/>
      <c r="E162"/>
      <c r="F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s="33" customFormat="1">
      <c r="A163" s="1"/>
      <c r="B163" s="1"/>
      <c r="C163" s="1"/>
      <c r="D163"/>
      <c r="E163"/>
      <c r="F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s="33" customFormat="1">
      <c r="A164"/>
      <c r="B164"/>
      <c r="C164"/>
      <c r="D164"/>
      <c r="E164"/>
      <c r="F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s="33" customFormat="1">
      <c r="A165"/>
      <c r="B165"/>
      <c r="C165"/>
      <c r="D165"/>
      <c r="E165"/>
      <c r="F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s="33" customFormat="1">
      <c r="A166" s="2"/>
      <c r="B166" s="2"/>
      <c r="C166" s="2"/>
      <c r="D166"/>
      <c r="E166"/>
      <c r="F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s="33" customFormat="1">
      <c r="A167" s="1"/>
      <c r="B167" s="1"/>
      <c r="C167" s="1"/>
      <c r="D167"/>
      <c r="E167"/>
      <c r="F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s="33" customFormat="1">
      <c r="A168" s="1"/>
      <c r="B168" s="1"/>
      <c r="C168" s="1"/>
      <c r="D168"/>
      <c r="E168"/>
      <c r="F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s="33" customFormat="1">
      <c r="A169"/>
      <c r="B169"/>
      <c r="C169"/>
      <c r="D169"/>
      <c r="E169"/>
      <c r="F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s="33" customFormat="1">
      <c r="A170" s="1"/>
      <c r="B170" s="1"/>
      <c r="C170" s="1"/>
      <c r="D170"/>
      <c r="E170"/>
      <c r="F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s="33" customFormat="1">
      <c r="A171"/>
      <c r="B171"/>
      <c r="C171"/>
      <c r="D171"/>
      <c r="E171"/>
      <c r="F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s="33" customFormat="1">
      <c r="A172"/>
      <c r="B172"/>
      <c r="C172"/>
      <c r="D172"/>
      <c r="E172"/>
      <c r="F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s="33" customFormat="1">
      <c r="A173" s="2"/>
      <c r="B173" s="2"/>
      <c r="C173" s="2"/>
      <c r="D173"/>
      <c r="E173"/>
      <c r="F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s="33" customFormat="1">
      <c r="A174" s="1"/>
      <c r="B174" s="1"/>
      <c r="C174" s="1"/>
      <c r="D174"/>
      <c r="E174"/>
      <c r="F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s="33" customFormat="1">
      <c r="A175" s="1"/>
      <c r="B175" s="1"/>
      <c r="C175" s="1"/>
      <c r="D175"/>
      <c r="E175"/>
      <c r="F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s="33" customFormat="1">
      <c r="A176"/>
      <c r="B176"/>
      <c r="C176"/>
      <c r="D176"/>
      <c r="E176"/>
      <c r="F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s="33" customFormat="1">
      <c r="A177" s="1"/>
      <c r="B177" s="1"/>
      <c r="C177" s="1"/>
      <c r="D177"/>
      <c r="E177"/>
      <c r="F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s="33" customFormat="1">
      <c r="A178"/>
      <c r="B178"/>
      <c r="C178"/>
      <c r="D178"/>
      <c r="E178"/>
      <c r="F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s="33" customFormat="1">
      <c r="A179"/>
      <c r="B179"/>
      <c r="C179"/>
      <c r="D179"/>
      <c r="E179"/>
      <c r="F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s="33" customFormat="1">
      <c r="A180" s="2"/>
      <c r="B180" s="2"/>
      <c r="C180" s="2"/>
      <c r="D180"/>
      <c r="E180"/>
      <c r="F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s="33" customFormat="1">
      <c r="A181" s="1"/>
      <c r="B181" s="1"/>
      <c r="C181" s="1"/>
      <c r="D181"/>
      <c r="E181"/>
      <c r="F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s="33" customFormat="1">
      <c r="A182" s="1"/>
      <c r="B182" s="1"/>
      <c r="C182" s="1"/>
      <c r="D182"/>
      <c r="E182"/>
      <c r="F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s="33" customFormat="1">
      <c r="A183"/>
      <c r="B183"/>
      <c r="C183"/>
      <c r="D183"/>
      <c r="E183"/>
      <c r="F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s="33" customFormat="1">
      <c r="A184" s="1"/>
      <c r="B184" s="1"/>
      <c r="C184" s="1"/>
      <c r="D184"/>
      <c r="E184"/>
      <c r="F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s="33" customFormat="1">
      <c r="A185"/>
      <c r="B185"/>
      <c r="C185"/>
      <c r="D185"/>
      <c r="E185"/>
      <c r="F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s="33" customFormat="1">
      <c r="A186"/>
      <c r="B186"/>
      <c r="C186"/>
      <c r="D186"/>
      <c r="E186"/>
      <c r="F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s="33" customFormat="1">
      <c r="A187" s="2"/>
      <c r="B187" s="2"/>
      <c r="C187" s="2"/>
      <c r="D187"/>
      <c r="E187"/>
      <c r="F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s="33" customFormat="1">
      <c r="A188" s="1"/>
      <c r="B188" s="1"/>
      <c r="C188" s="1"/>
      <c r="D188"/>
      <c r="E188"/>
      <c r="F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s="33" customFormat="1">
      <c r="A189" s="1"/>
      <c r="B189" s="1"/>
      <c r="C189" s="1"/>
      <c r="D189"/>
      <c r="E189"/>
      <c r="F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s="33" customFormat="1">
      <c r="A190"/>
      <c r="B190"/>
      <c r="C190"/>
      <c r="D190"/>
      <c r="E190"/>
      <c r="F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s="33" customFormat="1">
      <c r="A191" s="1"/>
      <c r="B191" s="1"/>
      <c r="C191" s="1"/>
      <c r="D191"/>
      <c r="E191"/>
      <c r="F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s="33" customFormat="1">
      <c r="A192"/>
      <c r="B192"/>
      <c r="C192"/>
      <c r="D192"/>
      <c r="E192"/>
      <c r="F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s="33" customFormat="1">
      <c r="A193"/>
      <c r="B193"/>
      <c r="C193"/>
      <c r="D193"/>
      <c r="E193"/>
      <c r="F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s="33" customFormat="1">
      <c r="A194" s="2"/>
      <c r="B194" s="2"/>
      <c r="C194" s="2"/>
      <c r="D194"/>
      <c r="E194"/>
      <c r="F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s="33" customFormat="1">
      <c r="A195" s="1"/>
      <c r="B195" s="1"/>
      <c r="C195" s="1"/>
      <c r="D195"/>
      <c r="E195"/>
      <c r="F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s="33" customFormat="1">
      <c r="A196" s="1"/>
      <c r="B196" s="1"/>
      <c r="C196" s="1"/>
      <c r="D196"/>
      <c r="E196"/>
      <c r="F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s="33" customFormat="1">
      <c r="A197"/>
      <c r="B197"/>
      <c r="C197"/>
      <c r="D197"/>
      <c r="E197"/>
      <c r="F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s="33" customFormat="1">
      <c r="A198" s="1"/>
      <c r="B198" s="1"/>
      <c r="C198" s="1"/>
      <c r="D198"/>
      <c r="E198"/>
      <c r="F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s="33" customFormat="1">
      <c r="A19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s="33" customFormat="1">
      <c r="A200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s="33" customFormat="1">
      <c r="A201" s="2"/>
      <c r="B201" s="2"/>
      <c r="C201" s="2"/>
      <c r="D201"/>
      <c r="E201"/>
      <c r="F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s="33" customFormat="1">
      <c r="A202" s="1"/>
      <c r="B202" s="1"/>
      <c r="C202" s="1"/>
      <c r="D202"/>
      <c r="E202"/>
      <c r="F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s="33" customFormat="1">
      <c r="A203" s="1"/>
      <c r="B203" s="1"/>
      <c r="C203" s="1"/>
      <c r="D203"/>
      <c r="E203"/>
      <c r="F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s="33" customFormat="1">
      <c r="A204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s="33" customFormat="1">
      <c r="A205" s="1"/>
      <c r="B205" s="1"/>
      <c r="C205" s="1"/>
      <c r="D205"/>
      <c r="E205"/>
      <c r="F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s="33" customFormat="1">
      <c r="A206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s="33" customFormat="1">
      <c r="A207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s="33" customFormat="1">
      <c r="A208" s="2"/>
      <c r="B208" s="2"/>
      <c r="C208" s="2"/>
      <c r="D208"/>
      <c r="E208"/>
      <c r="F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s="33" customFormat="1">
      <c r="A209" s="1"/>
      <c r="B209" s="1"/>
      <c r="C209" s="1"/>
      <c r="D209"/>
      <c r="E209"/>
      <c r="F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s="33" customFormat="1">
      <c r="A210" s="1"/>
      <c r="B210" s="1"/>
      <c r="C210" s="1"/>
      <c r="D210"/>
      <c r="E210"/>
      <c r="F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s="33" customFormat="1">
      <c r="A211"/>
      <c r="B211"/>
      <c r="C211"/>
      <c r="D211"/>
      <c r="E211"/>
      <c r="F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s="33" customFormat="1">
      <c r="A212" s="1"/>
      <c r="B212" s="1"/>
      <c r="C212" s="1"/>
      <c r="D212"/>
      <c r="E212"/>
      <c r="F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s="33" customFormat="1">
      <c r="A213"/>
      <c r="B213"/>
      <c r="C213"/>
      <c r="D213"/>
      <c r="E213"/>
      <c r="F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s="33" customFormat="1">
      <c r="A214"/>
      <c r="B214"/>
      <c r="C214"/>
      <c r="D214"/>
      <c r="E214"/>
      <c r="F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s="33" customFormat="1">
      <c r="A215" s="2"/>
      <c r="B215" s="2"/>
      <c r="C215" s="2"/>
      <c r="D215"/>
      <c r="E215"/>
      <c r="F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s="33" customFormat="1">
      <c r="A216" s="1"/>
      <c r="B216" s="1"/>
      <c r="C216" s="1"/>
      <c r="D216"/>
      <c r="E216"/>
      <c r="F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s="33" customFormat="1">
      <c r="A217" s="1"/>
      <c r="B217" s="1"/>
      <c r="C217" s="1"/>
      <c r="D217"/>
      <c r="E217"/>
      <c r="F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s="33" customFormat="1">
      <c r="A218"/>
      <c r="B218"/>
      <c r="C218"/>
      <c r="D218"/>
      <c r="E218"/>
      <c r="F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s="33" customFormat="1">
      <c r="A219" s="1"/>
      <c r="B219" s="1"/>
      <c r="C219" s="1"/>
      <c r="D219"/>
      <c r="E219"/>
      <c r="F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s="33" customFormat="1">
      <c r="A220"/>
      <c r="B220"/>
      <c r="C220"/>
      <c r="D220"/>
      <c r="E220"/>
      <c r="F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s="33" customFormat="1">
      <c r="A221"/>
      <c r="B221"/>
      <c r="C221"/>
      <c r="D221"/>
      <c r="E221"/>
      <c r="F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s="33" customFormat="1">
      <c r="A222" s="2"/>
      <c r="B222" s="2"/>
      <c r="C222" s="2"/>
      <c r="D222"/>
      <c r="E222"/>
      <c r="F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s="33" customFormat="1">
      <c r="A223" s="1"/>
      <c r="B223" s="1"/>
      <c r="C223" s="1"/>
      <c r="D223"/>
      <c r="E223"/>
      <c r="F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s="33" customFormat="1">
      <c r="A224" s="1"/>
      <c r="B224" s="1"/>
      <c r="C224" s="1"/>
      <c r="D224"/>
      <c r="E224"/>
      <c r="F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s="33" customFormat="1">
      <c r="A225"/>
      <c r="B225"/>
      <c r="C225"/>
      <c r="D225"/>
      <c r="E225"/>
      <c r="F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s="33" customFormat="1">
      <c r="A226" s="1"/>
      <c r="B226" s="1"/>
      <c r="C226" s="1"/>
      <c r="D226"/>
      <c r="E226"/>
      <c r="F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s="33" customFormat="1">
      <c r="A227"/>
      <c r="B227"/>
      <c r="C227"/>
      <c r="D227"/>
      <c r="E227"/>
      <c r="F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s="33" customFormat="1">
      <c r="A228"/>
      <c r="B228"/>
      <c r="C228"/>
      <c r="D228"/>
      <c r="E228"/>
      <c r="F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s="33" customFormat="1">
      <c r="A229" s="2"/>
      <c r="B229" s="2"/>
      <c r="C229" s="2"/>
      <c r="D229"/>
      <c r="E229"/>
      <c r="F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s="33" customFormat="1">
      <c r="A230" s="1"/>
      <c r="B230" s="1"/>
      <c r="C230" s="1"/>
      <c r="D230"/>
      <c r="E230"/>
      <c r="F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s="33" customFormat="1">
      <c r="A231" s="1"/>
      <c r="B231" s="1"/>
      <c r="C231" s="1"/>
      <c r="D231"/>
      <c r="E231"/>
      <c r="F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s="33" customFormat="1">
      <c r="A232"/>
      <c r="B232"/>
      <c r="C232"/>
      <c r="D232"/>
      <c r="E232"/>
      <c r="F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s="33" customFormat="1">
      <c r="A233" s="1"/>
      <c r="B233" s="1"/>
      <c r="C233" s="1"/>
      <c r="D233"/>
      <c r="E233"/>
      <c r="F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s="33" customFormat="1">
      <c r="A234"/>
      <c r="B234"/>
      <c r="C234"/>
      <c r="D234"/>
      <c r="E234"/>
      <c r="F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s="33" customFormat="1">
      <c r="A235"/>
      <c r="B235"/>
      <c r="C235"/>
      <c r="D235"/>
      <c r="E235"/>
      <c r="F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s="33" customFormat="1">
      <c r="A236" s="2"/>
      <c r="B236" s="2"/>
      <c r="C236" s="2"/>
      <c r="D236"/>
      <c r="E236"/>
      <c r="F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s="33" customFormat="1">
      <c r="A237" s="1"/>
      <c r="B237" s="1"/>
      <c r="C237" s="1"/>
      <c r="D237"/>
      <c r="E237"/>
      <c r="F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s="33" customFormat="1">
      <c r="A238" s="1"/>
      <c r="B238" s="1"/>
      <c r="C238" s="1"/>
      <c r="D238"/>
      <c r="E238"/>
      <c r="F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s="33" customFormat="1">
      <c r="A239"/>
      <c r="B239"/>
      <c r="C239"/>
      <c r="D239"/>
      <c r="E239"/>
      <c r="F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s="33" customFormat="1">
      <c r="A240" s="1"/>
      <c r="B240" s="1"/>
      <c r="C240" s="1"/>
      <c r="D240"/>
      <c r="E240"/>
      <c r="F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s="33" customFormat="1">
      <c r="A241"/>
      <c r="B241"/>
      <c r="C241"/>
      <c r="D241"/>
      <c r="E241"/>
      <c r="F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s="33" customFormat="1">
      <c r="A242"/>
      <c r="B242"/>
      <c r="C242"/>
      <c r="D242"/>
      <c r="E242"/>
      <c r="F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s="33" customFormat="1">
      <c r="A243" s="2"/>
      <c r="B243" s="2"/>
      <c r="C243" s="2"/>
      <c r="D243"/>
      <c r="E243"/>
      <c r="F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s="33" customFormat="1">
      <c r="A244" s="1"/>
      <c r="B244" s="1"/>
      <c r="C244" s="1"/>
      <c r="D244"/>
      <c r="E244"/>
      <c r="F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s="33" customFormat="1">
      <c r="A245" s="1"/>
      <c r="B245" s="1"/>
      <c r="C245" s="1"/>
      <c r="D245"/>
      <c r="E245"/>
      <c r="F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s="33" customFormat="1">
      <c r="A246"/>
      <c r="B246"/>
      <c r="C246"/>
      <c r="D246"/>
      <c r="E246"/>
      <c r="F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s="33" customFormat="1">
      <c r="A247" s="1"/>
      <c r="B247" s="1"/>
      <c r="C247" s="1"/>
      <c r="D247"/>
      <c r="E247"/>
      <c r="F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s="33" customFormat="1">
      <c r="A248"/>
      <c r="B248"/>
      <c r="C248"/>
      <c r="D248"/>
      <c r="E248"/>
      <c r="F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s="33" customFormat="1">
      <c r="A249"/>
      <c r="B249"/>
      <c r="C249"/>
      <c r="D249"/>
      <c r="E249"/>
      <c r="F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s="33" customFormat="1">
      <c r="A250" s="2"/>
      <c r="B250" s="2"/>
      <c r="C250" s="2"/>
      <c r="D250"/>
      <c r="E250"/>
      <c r="F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s="33" customFormat="1">
      <c r="A251" s="1"/>
      <c r="B251" s="1"/>
      <c r="C251" s="1"/>
      <c r="D251"/>
      <c r="E251"/>
      <c r="F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s="33" customFormat="1">
      <c r="A252" s="1"/>
      <c r="B252" s="1"/>
      <c r="C252" s="1"/>
      <c r="D252"/>
      <c r="E252"/>
      <c r="F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s="33" customFormat="1">
      <c r="A253"/>
      <c r="B253"/>
      <c r="C253"/>
      <c r="D253"/>
      <c r="E253"/>
      <c r="F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s="33" customFormat="1">
      <c r="A254" s="1"/>
      <c r="B254" s="1"/>
      <c r="C254" s="1"/>
      <c r="D254"/>
      <c r="E254"/>
      <c r="F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s="33" customFormat="1">
      <c r="A255"/>
      <c r="B255"/>
      <c r="C255"/>
      <c r="D255"/>
      <c r="E255"/>
      <c r="F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s="33" customFormat="1">
      <c r="A256"/>
      <c r="B256"/>
      <c r="C256"/>
      <c r="D256"/>
      <c r="E256"/>
      <c r="F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s="33" customFormat="1">
      <c r="A257" s="2"/>
      <c r="B257" s="2"/>
      <c r="C257" s="2"/>
      <c r="D257"/>
      <c r="E257"/>
      <c r="F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s="33" customFormat="1">
      <c r="A258" s="1"/>
      <c r="B258" s="1"/>
      <c r="C258" s="1"/>
      <c r="D258"/>
      <c r="E258"/>
      <c r="F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s="33" customFormat="1">
      <c r="A259" s="1"/>
      <c r="B259" s="1"/>
      <c r="C259" s="1"/>
      <c r="D259"/>
      <c r="E259"/>
      <c r="F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s="33" customFormat="1">
      <c r="A260"/>
      <c r="B260"/>
      <c r="C260"/>
      <c r="D260"/>
      <c r="E260"/>
      <c r="F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s="33" customFormat="1">
      <c r="A261" s="1"/>
      <c r="B261" s="1"/>
      <c r="C261" s="1"/>
      <c r="D261"/>
      <c r="E261"/>
      <c r="F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s="33" customFormat="1">
      <c r="A262"/>
      <c r="B262"/>
      <c r="C262"/>
      <c r="D262"/>
      <c r="E262"/>
      <c r="F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s="33" customFormat="1">
      <c r="A263"/>
      <c r="B263"/>
      <c r="C263"/>
      <c r="D263"/>
      <c r="E263"/>
      <c r="F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s="33" customFormat="1">
      <c r="A264" s="2"/>
      <c r="B264" s="2"/>
      <c r="C264" s="2"/>
      <c r="D264"/>
      <c r="E264"/>
      <c r="F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1:20" s="33" customFormat="1">
      <c r="A265" s="1"/>
      <c r="B265" s="1"/>
      <c r="C265" s="1"/>
      <c r="D265"/>
      <c r="E265"/>
      <c r="F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1:20" s="33" customFormat="1">
      <c r="A266" s="1"/>
      <c r="B266" s="1"/>
      <c r="C266" s="1"/>
      <c r="D266"/>
      <c r="E266"/>
      <c r="F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1:20" s="33" customFormat="1">
      <c r="A267"/>
      <c r="B267"/>
      <c r="C267"/>
      <c r="D267"/>
      <c r="E267"/>
      <c r="F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1:20" s="33" customFormat="1">
      <c r="A268" s="1"/>
      <c r="B268" s="1"/>
      <c r="C268" s="1"/>
      <c r="D268"/>
      <c r="E268"/>
      <c r="F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1:20" s="33" customFormat="1">
      <c r="A269"/>
      <c r="B269"/>
      <c r="C269"/>
      <c r="D269"/>
      <c r="E269"/>
      <c r="F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1:20" s="33" customFormat="1">
      <c r="A270"/>
      <c r="B270"/>
      <c r="C270"/>
      <c r="D270"/>
      <c r="E270"/>
      <c r="F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1:20" s="33" customFormat="1">
      <c r="A271" s="1"/>
      <c r="B271" s="1"/>
      <c r="C271" s="1"/>
      <c r="D271"/>
      <c r="E271"/>
      <c r="F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1:20" s="33" customFormat="1">
      <c r="A272"/>
      <c r="B272"/>
      <c r="C272"/>
      <c r="D272"/>
      <c r="E272"/>
      <c r="F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1:20" s="33" customFormat="1">
      <c r="A273"/>
      <c r="B273"/>
      <c r="C273"/>
      <c r="D273"/>
      <c r="E273"/>
      <c r="F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1:20" s="33" customFormat="1">
      <c r="A274" s="2"/>
      <c r="B274" s="2"/>
      <c r="C274" s="2"/>
      <c r="D274"/>
      <c r="E274"/>
      <c r="F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1:20" s="33" customFormat="1">
      <c r="A275" s="1"/>
      <c r="B275" s="1"/>
      <c r="C275" s="1"/>
      <c r="D275"/>
      <c r="E275"/>
      <c r="F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1:20" s="33" customFormat="1">
      <c r="A276" s="1"/>
      <c r="B276" s="1"/>
      <c r="C276" s="1"/>
      <c r="D276"/>
      <c r="E276"/>
      <c r="F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1:20" s="33" customFormat="1">
      <c r="A277"/>
      <c r="B277"/>
      <c r="C277"/>
      <c r="D277"/>
      <c r="E277"/>
      <c r="F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s="33" customFormat="1">
      <c r="A278" s="1"/>
      <c r="B278" s="1"/>
      <c r="C278" s="1"/>
      <c r="D278"/>
      <c r="E278"/>
      <c r="F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1:20" s="33" customFormat="1">
      <c r="A279"/>
      <c r="B279"/>
      <c r="C279"/>
      <c r="D279"/>
      <c r="E279"/>
      <c r="F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1:20" s="33" customFormat="1">
      <c r="A280"/>
      <c r="B280"/>
      <c r="C280"/>
      <c r="D280"/>
      <c r="E280"/>
      <c r="F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1:20" s="33" customFormat="1">
      <c r="A281" s="2"/>
      <c r="B281" s="2"/>
      <c r="C281" s="2"/>
      <c r="D281"/>
      <c r="E281"/>
      <c r="F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1:20" s="33" customFormat="1">
      <c r="A282" s="1"/>
      <c r="B282" s="1"/>
      <c r="C282" s="1"/>
      <c r="D282"/>
      <c r="E282"/>
      <c r="F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1:20" s="33" customFormat="1">
      <c r="A283" s="1"/>
      <c r="B283" s="1"/>
      <c r="C283" s="1"/>
      <c r="D283"/>
      <c r="E283"/>
      <c r="F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1:20" s="33" customFormat="1">
      <c r="A284"/>
      <c r="B284"/>
      <c r="C284"/>
      <c r="D284"/>
      <c r="E284"/>
      <c r="F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1:20" s="33" customFormat="1">
      <c r="A285" s="1"/>
      <c r="B285" s="1"/>
      <c r="C285" s="1"/>
      <c r="D285"/>
      <c r="E285"/>
      <c r="F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1:20" s="33" customFormat="1">
      <c r="A286"/>
      <c r="B286"/>
      <c r="C286"/>
      <c r="D286"/>
      <c r="E286"/>
      <c r="F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1:20" s="33" customFormat="1">
      <c r="A287"/>
      <c r="B287"/>
      <c r="C287"/>
      <c r="D287"/>
      <c r="E287"/>
      <c r="F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1:20" s="33" customFormat="1">
      <c r="A288" s="2"/>
      <c r="B288" s="2"/>
      <c r="C288" s="2"/>
      <c r="D288"/>
      <c r="E288"/>
      <c r="F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1:20" s="33" customFormat="1">
      <c r="A289" s="1"/>
      <c r="B289" s="1"/>
      <c r="C289" s="1"/>
      <c r="D289"/>
      <c r="E289"/>
      <c r="F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1:20" s="33" customFormat="1">
      <c r="A290" s="1"/>
      <c r="B290" s="1"/>
      <c r="C290" s="1"/>
      <c r="D290"/>
      <c r="E290"/>
      <c r="F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1:20" s="33" customFormat="1">
      <c r="A291"/>
      <c r="B291"/>
      <c r="C291"/>
      <c r="D291"/>
      <c r="E291"/>
      <c r="F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1:20" s="33" customFormat="1">
      <c r="A292" s="1"/>
      <c r="B292" s="1"/>
      <c r="C292" s="1"/>
      <c r="D292"/>
      <c r="E292"/>
      <c r="F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1:20" s="33" customFormat="1">
      <c r="A293"/>
      <c r="B293"/>
      <c r="C293"/>
      <c r="D293"/>
      <c r="E293"/>
      <c r="F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1:20" s="33" customFormat="1">
      <c r="A294"/>
      <c r="B294"/>
      <c r="C294"/>
      <c r="D294"/>
      <c r="E294"/>
      <c r="F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1:20" s="33" customFormat="1">
      <c r="A295" s="2"/>
      <c r="B295" s="2"/>
      <c r="C295" s="2"/>
      <c r="D295"/>
      <c r="E295"/>
      <c r="F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1:20" s="33" customFormat="1">
      <c r="A296" s="1"/>
      <c r="B296" s="1"/>
      <c r="C296" s="1"/>
      <c r="D296"/>
      <c r="E296"/>
      <c r="F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1:20" s="33" customFormat="1">
      <c r="A297" s="1"/>
      <c r="B297" s="1"/>
      <c r="C297" s="1"/>
      <c r="D297"/>
      <c r="E297"/>
      <c r="F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1:20" s="33" customFormat="1">
      <c r="A298"/>
      <c r="B298"/>
      <c r="C298"/>
      <c r="D298"/>
      <c r="E298"/>
      <c r="F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1:20" s="33" customFormat="1">
      <c r="A299" s="1"/>
      <c r="B299" s="1"/>
      <c r="C299" s="1"/>
      <c r="D299"/>
      <c r="E299"/>
      <c r="F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1:20" s="33" customFormat="1">
      <c r="A300"/>
      <c r="B300"/>
      <c r="C300"/>
      <c r="D300"/>
      <c r="E300"/>
      <c r="F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1:20" s="33" customFormat="1">
      <c r="A301"/>
      <c r="B301"/>
      <c r="C301"/>
      <c r="D301"/>
      <c r="E301"/>
      <c r="F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1:20" s="33" customFormat="1">
      <c r="A302" s="2"/>
      <c r="B302" s="2"/>
      <c r="C302" s="2"/>
      <c r="D302"/>
      <c r="E302"/>
      <c r="F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s="33" customFormat="1">
      <c r="A303" s="1"/>
      <c r="B303" s="1"/>
      <c r="C303" s="1"/>
      <c r="D303"/>
      <c r="E303"/>
      <c r="F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s="33" customFormat="1">
      <c r="A304" s="1"/>
      <c r="B304" s="1"/>
      <c r="C304" s="1"/>
      <c r="D304"/>
      <c r="E304"/>
      <c r="F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s="33" customFormat="1">
      <c r="A305"/>
      <c r="B305"/>
      <c r="C305"/>
      <c r="D305"/>
      <c r="E305"/>
      <c r="F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s="33" customFormat="1">
      <c r="A306" s="1"/>
      <c r="B306" s="1"/>
      <c r="C306" s="1"/>
      <c r="D306"/>
      <c r="E306"/>
      <c r="F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s="33" customFormat="1">
      <c r="A307"/>
      <c r="B307"/>
      <c r="C307"/>
      <c r="D307"/>
      <c r="E307"/>
      <c r="F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s="33" customFormat="1">
      <c r="A308"/>
      <c r="B308"/>
      <c r="C308"/>
      <c r="D308"/>
      <c r="E308"/>
      <c r="F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s="33" customFormat="1">
      <c r="A309" s="2"/>
      <c r="B309" s="2"/>
      <c r="C309" s="2"/>
      <c r="D309"/>
      <c r="E309"/>
      <c r="F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s="33" customFormat="1">
      <c r="A310" s="1"/>
      <c r="B310" s="1"/>
      <c r="C310" s="1"/>
      <c r="D310"/>
      <c r="E310"/>
      <c r="F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s="33" customFormat="1">
      <c r="A311" s="1"/>
      <c r="B311" s="1"/>
      <c r="C311" s="1"/>
      <c r="D311"/>
      <c r="E311"/>
      <c r="F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s="33" customFormat="1">
      <c r="A312"/>
      <c r="B312"/>
      <c r="C312"/>
      <c r="D312"/>
      <c r="E312"/>
      <c r="F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s="33" customFormat="1">
      <c r="A313" s="1"/>
      <c r="B313" s="1"/>
      <c r="C313" s="1"/>
      <c r="D313"/>
      <c r="E313"/>
      <c r="F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1:20" s="33" customFormat="1">
      <c r="A314"/>
      <c r="B314"/>
      <c r="C314"/>
      <c r="D314"/>
      <c r="E314"/>
      <c r="F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20" s="33" customFormat="1">
      <c r="A315"/>
      <c r="B315"/>
      <c r="C315"/>
      <c r="D315"/>
      <c r="E315"/>
      <c r="F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20" s="33" customFormat="1">
      <c r="A316" s="2"/>
      <c r="B316" s="2"/>
      <c r="C316" s="2"/>
      <c r="D316"/>
      <c r="E316"/>
      <c r="F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1:20" s="33" customFormat="1">
      <c r="A317" s="1"/>
      <c r="B317" s="1"/>
      <c r="C317" s="1"/>
      <c r="D317"/>
      <c r="E317"/>
      <c r="F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1:20" s="33" customFormat="1">
      <c r="A318" s="1"/>
      <c r="B318" s="1"/>
      <c r="C318" s="1"/>
      <c r="D318"/>
      <c r="E318"/>
      <c r="F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1:20" s="33" customFormat="1">
      <c r="A319"/>
      <c r="B319"/>
      <c r="C319"/>
      <c r="D319"/>
      <c r="E319"/>
      <c r="F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33" customFormat="1">
      <c r="A320" s="1"/>
      <c r="B320" s="1"/>
      <c r="C320" s="1"/>
      <c r="D320"/>
      <c r="E320"/>
      <c r="F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33" customFormat="1">
      <c r="A321"/>
      <c r="B321"/>
      <c r="C321"/>
      <c r="D321"/>
      <c r="E321"/>
      <c r="F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33" customFormat="1">
      <c r="A322"/>
      <c r="B322"/>
      <c r="C322"/>
      <c r="D322"/>
      <c r="E322"/>
      <c r="F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33" customFormat="1">
      <c r="A323" s="2"/>
      <c r="B323" s="2"/>
      <c r="C323" s="2"/>
      <c r="D323"/>
      <c r="E323"/>
      <c r="F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33" customFormat="1">
      <c r="A324" s="1"/>
      <c r="B324" s="1"/>
      <c r="C324" s="1"/>
      <c r="D324"/>
      <c r="E324"/>
      <c r="F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33" customFormat="1">
      <c r="A325" s="1"/>
      <c r="B325" s="1"/>
      <c r="C325" s="1"/>
      <c r="D325"/>
      <c r="E325"/>
      <c r="F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33" customFormat="1">
      <c r="A326"/>
      <c r="B326"/>
      <c r="C326"/>
      <c r="D326"/>
      <c r="E326"/>
      <c r="F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33" customFormat="1">
      <c r="A327" s="1"/>
      <c r="B327" s="1"/>
      <c r="C327" s="1"/>
      <c r="D327"/>
      <c r="E327"/>
      <c r="F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33" customFormat="1">
      <c r="A328"/>
      <c r="B328"/>
      <c r="C328"/>
      <c r="D328"/>
      <c r="E328"/>
      <c r="F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33" customFormat="1">
      <c r="A329"/>
      <c r="B329"/>
      <c r="C329"/>
      <c r="D329"/>
      <c r="E329"/>
      <c r="F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33" customFormat="1">
      <c r="A330" s="2"/>
      <c r="B330" s="2"/>
      <c r="C330" s="2"/>
      <c r="D330"/>
      <c r="E330"/>
      <c r="F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1:20" s="33" customFormat="1">
      <c r="A331" s="1"/>
      <c r="B331" s="1"/>
      <c r="C331" s="1"/>
      <c r="D331"/>
      <c r="E331"/>
      <c r="F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1:20" s="33" customFormat="1">
      <c r="A332" s="1"/>
      <c r="B332" s="1"/>
      <c r="C332" s="1"/>
      <c r="D332"/>
      <c r="E332"/>
      <c r="F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1:20" s="33" customFormat="1">
      <c r="A333"/>
      <c r="B333"/>
      <c r="C333"/>
      <c r="D333"/>
      <c r="E333"/>
      <c r="F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1:20" s="33" customFormat="1">
      <c r="A334" s="1"/>
      <c r="B334" s="1"/>
      <c r="C334" s="1"/>
      <c r="D334"/>
      <c r="E334"/>
      <c r="F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1:20" s="33" customFormat="1">
      <c r="A335"/>
      <c r="B335"/>
      <c r="C335"/>
      <c r="D335"/>
      <c r="E335"/>
      <c r="F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1:20" s="33" customFormat="1">
      <c r="A336"/>
      <c r="B336"/>
      <c r="C336"/>
      <c r="D336"/>
      <c r="E336"/>
      <c r="F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1:20" s="33" customFormat="1">
      <c r="A337" s="2"/>
      <c r="B337" s="2"/>
      <c r="C337" s="2"/>
      <c r="D337"/>
      <c r="E337"/>
      <c r="F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1:20" s="33" customFormat="1">
      <c r="A338" s="1"/>
      <c r="B338" s="1"/>
      <c r="C338" s="1"/>
      <c r="D338"/>
      <c r="E338"/>
      <c r="F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1:20" s="33" customFormat="1">
      <c r="A339" s="1"/>
      <c r="B339" s="1"/>
      <c r="C339" s="1"/>
      <c r="D339"/>
      <c r="E339"/>
      <c r="F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1:20" s="33" customFormat="1">
      <c r="A340"/>
      <c r="B340"/>
      <c r="C340"/>
      <c r="D340"/>
      <c r="E340"/>
      <c r="F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1:20" s="33" customFormat="1">
      <c r="A341" s="1"/>
      <c r="B341" s="1"/>
      <c r="C341" s="1"/>
      <c r="D341"/>
      <c r="E341"/>
      <c r="F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1:20" s="33" customFormat="1">
      <c r="A342"/>
      <c r="B342"/>
      <c r="C342"/>
      <c r="D342"/>
      <c r="E342"/>
      <c r="F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1:20" s="33" customFormat="1">
      <c r="A343"/>
      <c r="B343"/>
      <c r="C343"/>
      <c r="D343"/>
      <c r="E343"/>
      <c r="F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1:20" s="33" customFormat="1">
      <c r="A344" s="2"/>
      <c r="B344" s="2"/>
      <c r="C344" s="2"/>
      <c r="D344"/>
      <c r="E344"/>
      <c r="F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1:20" s="33" customFormat="1">
      <c r="A345" s="1"/>
      <c r="B345" s="1"/>
      <c r="C345" s="1"/>
      <c r="D345"/>
      <c r="E345"/>
      <c r="F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1:20" s="33" customFormat="1">
      <c r="A346" s="1"/>
      <c r="B346" s="1"/>
      <c r="C346" s="1"/>
      <c r="D346"/>
      <c r="E346"/>
      <c r="F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1:20" s="33" customFormat="1">
      <c r="A347"/>
      <c r="B347"/>
      <c r="C347"/>
      <c r="D347"/>
      <c r="E347"/>
      <c r="F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1:20" s="33" customFormat="1">
      <c r="A348" s="1"/>
      <c r="B348" s="1"/>
      <c r="C348" s="1"/>
      <c r="D348"/>
      <c r="E348"/>
      <c r="F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1:20" s="33" customFormat="1">
      <c r="A349"/>
      <c r="B349"/>
      <c r="C349"/>
      <c r="D349"/>
      <c r="E349"/>
      <c r="F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1:20" s="33" customFormat="1">
      <c r="A350"/>
      <c r="B350"/>
      <c r="C350"/>
      <c r="D350"/>
      <c r="E350"/>
      <c r="F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1:20" s="33" customFormat="1">
      <c r="A351" s="2"/>
      <c r="B351" s="2"/>
      <c r="C351" s="2"/>
      <c r="D351"/>
      <c r="E351"/>
      <c r="F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1:20" s="33" customFormat="1">
      <c r="A352" s="1"/>
      <c r="B352" s="1"/>
      <c r="C352" s="1"/>
      <c r="D352"/>
      <c r="E352"/>
      <c r="F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1:20" s="33" customFormat="1">
      <c r="A353" s="1"/>
      <c r="B353" s="1"/>
      <c r="C353" s="1"/>
      <c r="D353"/>
      <c r="E353"/>
      <c r="F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1:20" s="33" customFormat="1">
      <c r="A354"/>
      <c r="B354"/>
      <c r="C354"/>
      <c r="D354"/>
      <c r="E354"/>
      <c r="F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1:20" s="33" customFormat="1">
      <c r="A355" s="1"/>
      <c r="B355" s="1"/>
      <c r="C355" s="1"/>
      <c r="D355"/>
      <c r="E355"/>
      <c r="F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1:20" s="33" customFormat="1">
      <c r="A356"/>
      <c r="B356"/>
      <c r="C356"/>
      <c r="D356"/>
      <c r="E356"/>
      <c r="F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1:20" s="33" customFormat="1">
      <c r="A357"/>
      <c r="B357"/>
      <c r="C357"/>
      <c r="D357"/>
      <c r="E357"/>
      <c r="F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s="33" customFormat="1">
      <c r="A358" s="2"/>
      <c r="B358" s="2"/>
      <c r="C358" s="2"/>
      <c r="D358"/>
      <c r="E358"/>
      <c r="F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s="33" customFormat="1">
      <c r="A359" s="1"/>
      <c r="B359" s="1"/>
      <c r="C359" s="1"/>
      <c r="D359"/>
      <c r="E359"/>
      <c r="F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s="33" customFormat="1">
      <c r="A360" s="1"/>
      <c r="B360" s="1"/>
      <c r="C360" s="1"/>
      <c r="D360"/>
      <c r="E360"/>
      <c r="F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s="33" customFormat="1">
      <c r="A361"/>
      <c r="B361"/>
      <c r="C361"/>
      <c r="D361"/>
      <c r="E361"/>
      <c r="F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s="33" customFormat="1">
      <c r="A362" s="1"/>
      <c r="B362" s="1"/>
      <c r="C362" s="1"/>
      <c r="D362"/>
      <c r="E362"/>
      <c r="F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s="33" customFormat="1">
      <c r="A363"/>
      <c r="B363"/>
      <c r="C363"/>
      <c r="D363"/>
      <c r="E363"/>
      <c r="F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s="33" customFormat="1">
      <c r="A364"/>
      <c r="B364"/>
      <c r="C364"/>
      <c r="D364"/>
      <c r="E364"/>
      <c r="F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s="33" customFormat="1">
      <c r="A365" s="2"/>
      <c r="B365" s="2"/>
      <c r="C365" s="2"/>
      <c r="D365"/>
      <c r="E365"/>
      <c r="F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s="33" customFormat="1">
      <c r="A366" s="1"/>
      <c r="B366" s="1"/>
      <c r="C366" s="1"/>
      <c r="D366"/>
      <c r="E366"/>
      <c r="F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s="33" customFormat="1">
      <c r="A367" s="1"/>
      <c r="B367" s="1"/>
      <c r="C367" s="1"/>
      <c r="D367"/>
      <c r="E367"/>
      <c r="F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s="33" customFormat="1">
      <c r="A368"/>
      <c r="B368"/>
      <c r="C368"/>
      <c r="D368"/>
      <c r="E368"/>
      <c r="F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1:20" s="33" customFormat="1">
      <c r="A369" s="1"/>
      <c r="B369" s="1"/>
      <c r="C369" s="1"/>
      <c r="D369"/>
      <c r="E369"/>
      <c r="F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1:20" s="33" customFormat="1">
      <c r="A370"/>
      <c r="B370"/>
      <c r="C370"/>
      <c r="D370"/>
      <c r="E370"/>
      <c r="F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1:20" s="33" customFormat="1">
      <c r="A371"/>
      <c r="B371"/>
      <c r="C371"/>
      <c r="D371"/>
      <c r="E371"/>
      <c r="F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1:20" s="33" customFormat="1">
      <c r="A372" s="2"/>
      <c r="B372" s="2"/>
      <c r="C372" s="2"/>
      <c r="D372"/>
      <c r="E372"/>
      <c r="F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1:20" s="33" customFormat="1">
      <c r="A373" s="1"/>
      <c r="B373" s="1"/>
      <c r="C373" s="1"/>
      <c r="D373"/>
      <c r="E373"/>
      <c r="F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0" s="33" customFormat="1">
      <c r="A374" s="1"/>
      <c r="B374" s="1"/>
      <c r="C374" s="1"/>
      <c r="D374"/>
      <c r="E374"/>
      <c r="F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1:20" s="33" customFormat="1">
      <c r="A375"/>
      <c r="B375"/>
      <c r="C375"/>
      <c r="D375"/>
      <c r="E375"/>
      <c r="F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1:20" s="33" customFormat="1">
      <c r="A376" s="1"/>
      <c r="B376" s="1"/>
      <c r="C376" s="1"/>
      <c r="D376"/>
      <c r="E376"/>
      <c r="F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1:20" s="33" customFormat="1">
      <c r="A377"/>
      <c r="B377"/>
      <c r="C377"/>
      <c r="D377"/>
      <c r="E377"/>
      <c r="F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1:20" s="33" customFormat="1">
      <c r="A378"/>
      <c r="B378"/>
      <c r="C378"/>
      <c r="D378"/>
      <c r="E378"/>
      <c r="F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33" customFormat="1">
      <c r="A379" s="2"/>
      <c r="B379" s="2"/>
      <c r="C379" s="2"/>
      <c r="D379"/>
      <c r="E379"/>
      <c r="F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1:20" s="33" customFormat="1">
      <c r="A380" s="1"/>
      <c r="B380" s="1"/>
      <c r="C380" s="1"/>
      <c r="D380"/>
      <c r="E380"/>
      <c r="F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1:20" s="33" customFormat="1">
      <c r="A381" s="1"/>
      <c r="B381" s="1"/>
      <c r="C381" s="1"/>
      <c r="D381"/>
      <c r="E381"/>
      <c r="F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1:20" s="33" customFormat="1">
      <c r="A382"/>
      <c r="B382"/>
      <c r="C382"/>
      <c r="D382"/>
      <c r="E382"/>
      <c r="F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1:20" s="33" customFormat="1">
      <c r="A383" s="1"/>
      <c r="B383" s="1"/>
      <c r="C383" s="1"/>
      <c r="D383"/>
      <c r="E383"/>
      <c r="F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1:20" s="33" customFormat="1">
      <c r="A384"/>
      <c r="B384"/>
      <c r="C384"/>
      <c r="D384"/>
      <c r="E384"/>
      <c r="F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1:20" s="33" customFormat="1">
      <c r="A385"/>
      <c r="B385"/>
      <c r="C385"/>
      <c r="D385"/>
      <c r="E385"/>
      <c r="F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1:20" s="33" customFormat="1">
      <c r="A386" s="2"/>
      <c r="B386" s="2"/>
      <c r="C386" s="2"/>
      <c r="D386"/>
      <c r="E386"/>
      <c r="F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1:20" s="33" customFormat="1">
      <c r="A387" s="1"/>
      <c r="B387" s="1"/>
      <c r="C387" s="1"/>
      <c r="D387"/>
      <c r="E387"/>
      <c r="F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1:20" s="33" customFormat="1">
      <c r="A388" s="1"/>
      <c r="B388" s="1"/>
      <c r="C388" s="1"/>
      <c r="D388"/>
      <c r="E388"/>
      <c r="F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1:20" s="33" customFormat="1">
      <c r="A389"/>
      <c r="B389"/>
      <c r="C389"/>
      <c r="D389"/>
      <c r="E389"/>
      <c r="F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1:20" s="33" customFormat="1">
      <c r="A390" s="1"/>
      <c r="B390" s="1"/>
      <c r="C390" s="1"/>
      <c r="D390"/>
      <c r="E390"/>
      <c r="F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1:20" s="33" customFormat="1">
      <c r="A391"/>
      <c r="B391"/>
      <c r="C391"/>
      <c r="D391"/>
      <c r="E391"/>
      <c r="F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1:20" s="33" customFormat="1">
      <c r="A392"/>
      <c r="B392"/>
      <c r="C392"/>
      <c r="D392"/>
      <c r="E392"/>
      <c r="F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1:20" s="33" customFormat="1">
      <c r="A393" s="2"/>
      <c r="B393" s="2"/>
      <c r="C393" s="2"/>
      <c r="D393"/>
      <c r="E393"/>
      <c r="F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1:20" s="33" customFormat="1">
      <c r="A394" s="1"/>
      <c r="B394" s="1"/>
      <c r="C394" s="1"/>
      <c r="D394"/>
      <c r="E394"/>
      <c r="F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1:20" s="33" customFormat="1">
      <c r="A395" s="1"/>
      <c r="B395" s="1"/>
      <c r="C395" s="1"/>
      <c r="D395"/>
      <c r="E395"/>
      <c r="F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1:20" s="33" customFormat="1">
      <c r="A396"/>
      <c r="B396"/>
      <c r="C396"/>
      <c r="D396"/>
      <c r="E396"/>
      <c r="F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1:20" s="33" customFormat="1">
      <c r="A397" s="1"/>
      <c r="B397" s="1"/>
      <c r="C397" s="1"/>
      <c r="D397"/>
      <c r="E397"/>
      <c r="F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1:20" s="33" customFormat="1">
      <c r="A398"/>
      <c r="B398"/>
      <c r="C398"/>
      <c r="D398"/>
      <c r="E398"/>
      <c r="F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1:20" s="33" customFormat="1">
      <c r="A399"/>
      <c r="B399"/>
      <c r="C399"/>
      <c r="D399"/>
      <c r="E399"/>
      <c r="F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1:20" s="33" customFormat="1">
      <c r="A400" s="2"/>
      <c r="B400" s="2"/>
      <c r="C400" s="2"/>
      <c r="D400"/>
      <c r="E400"/>
      <c r="F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1:20" s="33" customFormat="1">
      <c r="A401" s="1"/>
      <c r="B401" s="1"/>
      <c r="C401" s="1"/>
      <c r="D401"/>
      <c r="E401"/>
      <c r="F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1:20" s="33" customFormat="1">
      <c r="A402" s="1"/>
      <c r="B402" s="1"/>
      <c r="C402" s="1"/>
      <c r="D402"/>
      <c r="E402"/>
      <c r="F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1:20" s="33" customFormat="1">
      <c r="A403"/>
      <c r="B403"/>
      <c r="C403"/>
      <c r="D403"/>
      <c r="E403"/>
      <c r="F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1:20" s="33" customFormat="1">
      <c r="A404" s="1"/>
      <c r="B404" s="1"/>
      <c r="C404" s="1"/>
      <c r="D404"/>
      <c r="E404"/>
      <c r="F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1:20" s="33" customFormat="1">
      <c r="A405"/>
      <c r="B405"/>
      <c r="C405"/>
      <c r="D405"/>
      <c r="E405"/>
      <c r="F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1:20" s="33" customFormat="1">
      <c r="A406"/>
      <c r="B406"/>
      <c r="C406"/>
      <c r="D406"/>
      <c r="E406"/>
      <c r="F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1:20" s="33" customFormat="1">
      <c r="A407" s="2"/>
      <c r="B407" s="2"/>
      <c r="C407" s="2"/>
      <c r="D407"/>
      <c r="E407"/>
      <c r="F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1:20" s="33" customFormat="1">
      <c r="A408" s="1"/>
      <c r="B408" s="1"/>
      <c r="C408" s="1"/>
      <c r="D408"/>
      <c r="E408"/>
      <c r="F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1:20" s="33" customFormat="1">
      <c r="A409" s="1"/>
      <c r="B409" s="1"/>
      <c r="C409" s="1"/>
      <c r="D409"/>
      <c r="E409"/>
      <c r="F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1:20" s="33" customFormat="1">
      <c r="A410"/>
      <c r="B410"/>
      <c r="C410"/>
      <c r="D410"/>
      <c r="E410"/>
      <c r="F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1:20" s="33" customFormat="1">
      <c r="A411" s="1"/>
      <c r="B411" s="1"/>
      <c r="C411" s="1"/>
      <c r="D411"/>
      <c r="E411"/>
      <c r="F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1:20" s="33" customFormat="1">
      <c r="A412"/>
      <c r="B412"/>
      <c r="C412"/>
      <c r="D412"/>
      <c r="E412"/>
      <c r="F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1:20" s="33" customFormat="1">
      <c r="A413"/>
      <c r="B413"/>
      <c r="C413"/>
      <c r="D413"/>
      <c r="E413"/>
      <c r="F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1:20" s="33" customFormat="1">
      <c r="A414" s="2"/>
      <c r="B414" s="2"/>
      <c r="C414" s="2"/>
      <c r="D414"/>
      <c r="E414"/>
      <c r="F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1:20" s="33" customFormat="1">
      <c r="A415" s="1"/>
      <c r="B415" s="1"/>
      <c r="C415" s="1"/>
      <c r="D415"/>
      <c r="E415"/>
      <c r="F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1:20" s="33" customFormat="1">
      <c r="A416" s="1"/>
      <c r="B416" s="1"/>
      <c r="C416" s="1"/>
      <c r="D416"/>
      <c r="E416"/>
      <c r="F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1:20" s="33" customFormat="1">
      <c r="A417"/>
      <c r="B417"/>
      <c r="C417"/>
      <c r="D417"/>
      <c r="E417"/>
      <c r="F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1:20" s="33" customFormat="1">
      <c r="A418" s="1"/>
      <c r="B418" s="1"/>
      <c r="C418" s="1"/>
      <c r="D418"/>
      <c r="E418"/>
      <c r="F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20" s="33" customFormat="1">
      <c r="A419"/>
      <c r="B419"/>
      <c r="C419"/>
      <c r="D419"/>
      <c r="E419"/>
      <c r="F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20" s="33" customFormat="1">
      <c r="A420"/>
      <c r="B420"/>
      <c r="C420"/>
      <c r="D420"/>
      <c r="E420"/>
      <c r="F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1:20" s="33" customFormat="1">
      <c r="A421" s="2"/>
      <c r="B421" s="2"/>
      <c r="C421" s="2"/>
      <c r="D421"/>
      <c r="E421"/>
      <c r="F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1:20" s="33" customFormat="1">
      <c r="A422" s="1"/>
      <c r="B422" s="1"/>
      <c r="C422" s="1"/>
      <c r="D422"/>
      <c r="E422"/>
      <c r="F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1:20" s="33" customFormat="1">
      <c r="A423" s="1"/>
      <c r="B423" s="1"/>
      <c r="C423" s="1"/>
      <c r="D423"/>
      <c r="E423"/>
      <c r="F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1:20" s="33" customFormat="1">
      <c r="A424"/>
      <c r="B424"/>
      <c r="C424"/>
      <c r="D424"/>
      <c r="E424"/>
      <c r="F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1:20" s="33" customFormat="1">
      <c r="A425" s="1"/>
      <c r="B425" s="1"/>
      <c r="C425" s="1"/>
      <c r="D425"/>
      <c r="E425"/>
      <c r="F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1:20" s="33" customFormat="1">
      <c r="A426"/>
      <c r="B426"/>
      <c r="C426"/>
      <c r="D426"/>
      <c r="E426"/>
      <c r="F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1:20" s="33" customFormat="1">
      <c r="A427"/>
      <c r="B427"/>
      <c r="C427"/>
      <c r="D427"/>
      <c r="E427"/>
      <c r="F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1:20" s="33" customFormat="1">
      <c r="A428" s="2"/>
      <c r="B428" s="2"/>
      <c r="C428" s="2"/>
      <c r="D428"/>
      <c r="E428"/>
      <c r="F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1:20" s="33" customFormat="1">
      <c r="A429" s="1"/>
      <c r="B429" s="1"/>
      <c r="C429" s="1"/>
      <c r="D429"/>
      <c r="E429"/>
      <c r="F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1:20" s="33" customFormat="1">
      <c r="A430" s="1"/>
      <c r="B430" s="1"/>
      <c r="C430" s="1"/>
      <c r="D430"/>
      <c r="E430"/>
      <c r="F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1:20" s="33" customFormat="1">
      <c r="A431"/>
      <c r="B431"/>
      <c r="C431"/>
      <c r="D431"/>
      <c r="E431"/>
      <c r="F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1:20" s="33" customFormat="1">
      <c r="A432" s="1"/>
      <c r="B432" s="1"/>
      <c r="C432" s="1"/>
      <c r="D432"/>
      <c r="E432"/>
      <c r="F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1:20" s="33" customFormat="1">
      <c r="A433"/>
      <c r="B433"/>
      <c r="C433"/>
      <c r="D433"/>
      <c r="E433"/>
      <c r="F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1:20" s="33" customFormat="1">
      <c r="A434"/>
      <c r="B434"/>
      <c r="C434"/>
      <c r="D434"/>
      <c r="E434"/>
      <c r="F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1:20" s="33" customFormat="1">
      <c r="A435" s="2"/>
      <c r="B435" s="2"/>
      <c r="C435" s="2"/>
      <c r="D435"/>
      <c r="E435"/>
      <c r="F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1:20" s="33" customFormat="1">
      <c r="A436" s="1"/>
      <c r="B436" s="1"/>
      <c r="C436" s="1"/>
      <c r="D436"/>
      <c r="E436"/>
      <c r="F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1:20" s="33" customFormat="1">
      <c r="A437" s="1"/>
      <c r="B437" s="1"/>
      <c r="C437" s="1"/>
      <c r="D437"/>
      <c r="E437"/>
      <c r="F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1:20" s="33" customFormat="1">
      <c r="A438"/>
      <c r="B438"/>
      <c r="C438"/>
      <c r="D438"/>
      <c r="E438"/>
      <c r="F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1:20" s="33" customFormat="1">
      <c r="A439" s="1"/>
      <c r="B439" s="1"/>
      <c r="C439" s="1"/>
      <c r="D439"/>
      <c r="E439"/>
      <c r="F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1:20" s="33" customFormat="1">
      <c r="A440"/>
      <c r="B440"/>
      <c r="C440"/>
      <c r="D440"/>
      <c r="E440"/>
      <c r="F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1:20" s="33" customFormat="1">
      <c r="A441"/>
      <c r="B441"/>
      <c r="C441"/>
      <c r="D441"/>
      <c r="E441"/>
      <c r="F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1:20" s="33" customFormat="1">
      <c r="A442" s="2"/>
      <c r="B442" s="2"/>
      <c r="C442" s="2"/>
      <c r="D442"/>
      <c r="E442"/>
      <c r="F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1:20" s="33" customFormat="1">
      <c r="A443" s="1"/>
      <c r="B443" s="1"/>
      <c r="C443" s="1"/>
      <c r="D443"/>
      <c r="E443"/>
      <c r="F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1:20" s="33" customFormat="1">
      <c r="A444" s="1"/>
      <c r="B444" s="1"/>
      <c r="C444" s="1"/>
      <c r="D444"/>
      <c r="E444"/>
      <c r="F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1:20" s="33" customFormat="1">
      <c r="A445"/>
      <c r="B445"/>
      <c r="C445"/>
      <c r="D445"/>
      <c r="E445"/>
      <c r="F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1:20" s="33" customFormat="1">
      <c r="A446" s="1"/>
      <c r="B446" s="1"/>
      <c r="C446" s="1"/>
      <c r="D446"/>
      <c r="E446"/>
      <c r="F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1:20" s="33" customFormat="1">
      <c r="A447"/>
      <c r="B447"/>
      <c r="C447"/>
      <c r="D447"/>
      <c r="E447"/>
      <c r="F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1:20" s="33" customFormat="1">
      <c r="A448"/>
      <c r="B448"/>
      <c r="C448"/>
      <c r="D448"/>
      <c r="E448"/>
      <c r="F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1:20" s="33" customFormat="1">
      <c r="A449" s="2"/>
      <c r="B449" s="2"/>
      <c r="C449" s="2"/>
      <c r="D449"/>
      <c r="E449"/>
      <c r="F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1:20" s="33" customFormat="1">
      <c r="A450" s="1"/>
      <c r="B450" s="1"/>
      <c r="C450" s="1"/>
      <c r="D450"/>
      <c r="E450"/>
      <c r="F450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1:20" s="33" customFormat="1">
      <c r="A451" s="1"/>
      <c r="B451" s="1"/>
      <c r="C451" s="1"/>
      <c r="D451"/>
      <c r="E451"/>
      <c r="F45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1:20" s="33" customFormat="1">
      <c r="A452"/>
      <c r="B452"/>
      <c r="C452"/>
      <c r="D452"/>
      <c r="E452"/>
      <c r="F452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1:20" s="33" customFormat="1">
      <c r="A453" s="1"/>
      <c r="B453" s="1"/>
      <c r="C453" s="1"/>
      <c r="D453"/>
      <c r="E453"/>
      <c r="F453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1:20" s="33" customFormat="1">
      <c r="A454"/>
      <c r="B454"/>
      <c r="C454"/>
      <c r="D454"/>
      <c r="E454"/>
      <c r="F454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1:20" s="33" customFormat="1">
      <c r="A455"/>
      <c r="B455"/>
      <c r="C455"/>
      <c r="D455"/>
      <c r="E455"/>
      <c r="F455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1:20" s="33" customFormat="1">
      <c r="A456" s="2"/>
      <c r="B456" s="2"/>
      <c r="C456" s="2"/>
      <c r="D456"/>
      <c r="E456"/>
      <c r="F456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1:20" s="33" customFormat="1">
      <c r="A457" s="1"/>
      <c r="B457" s="1"/>
      <c r="C457" s="1"/>
      <c r="D457"/>
      <c r="E457"/>
      <c r="F457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1:20" s="33" customFormat="1">
      <c r="A458" s="1"/>
      <c r="B458" s="1"/>
      <c r="C458" s="1"/>
      <c r="D458"/>
      <c r="E458"/>
      <c r="F458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1:20" s="33" customFormat="1">
      <c r="A459"/>
      <c r="B459"/>
      <c r="C459"/>
      <c r="D459"/>
      <c r="E459"/>
      <c r="F459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1:20" s="33" customFormat="1">
      <c r="A460" s="1"/>
      <c r="B460" s="1"/>
      <c r="C460" s="1"/>
      <c r="D460"/>
      <c r="E460"/>
      <c r="F460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1:20" s="33" customFormat="1">
      <c r="A461"/>
      <c r="B461"/>
      <c r="C461"/>
      <c r="D461"/>
      <c r="E461"/>
      <c r="F46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1:20" s="33" customFormat="1">
      <c r="A462"/>
      <c r="B462"/>
      <c r="C462"/>
      <c r="D462"/>
      <c r="E462"/>
      <c r="F462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1:20" s="33" customFormat="1">
      <c r="A463" s="2"/>
      <c r="B463" s="2"/>
      <c r="C463" s="2"/>
      <c r="D463"/>
      <c r="E463"/>
      <c r="F463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1:20" s="33" customFormat="1">
      <c r="A464" s="1"/>
      <c r="B464" s="1"/>
      <c r="C464" s="1"/>
      <c r="D464"/>
      <c r="E464"/>
      <c r="F464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1:20" s="33" customFormat="1">
      <c r="A465" s="1"/>
      <c r="B465" s="1"/>
      <c r="C465" s="1"/>
      <c r="D465"/>
      <c r="E465"/>
      <c r="F465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1:20" s="33" customFormat="1">
      <c r="A466"/>
      <c r="B466"/>
      <c r="C466"/>
      <c r="D466"/>
      <c r="E466"/>
      <c r="F466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1:20" s="33" customFormat="1">
      <c r="A467" s="1"/>
      <c r="B467" s="1"/>
      <c r="C467" s="1"/>
      <c r="D467"/>
      <c r="E467"/>
      <c r="F467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1:20" s="33" customFormat="1">
      <c r="A468"/>
      <c r="B468"/>
      <c r="C468"/>
      <c r="D468"/>
      <c r="E468"/>
      <c r="F468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1:20" s="33" customFormat="1">
      <c r="A469"/>
      <c r="B469"/>
      <c r="C469"/>
      <c r="D469"/>
      <c r="E469"/>
      <c r="F469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1:20" s="33" customFormat="1">
      <c r="A470" s="2"/>
      <c r="B470" s="2"/>
      <c r="C470" s="2"/>
      <c r="D470"/>
      <c r="E470"/>
      <c r="F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20" s="33" customFormat="1">
      <c r="A471" s="1"/>
      <c r="B471" s="1"/>
      <c r="C471" s="1"/>
      <c r="D471"/>
      <c r="E471"/>
      <c r="F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20" s="33" customFormat="1">
      <c r="A472" s="1"/>
      <c r="B472" s="1"/>
      <c r="C472" s="1"/>
      <c r="D472"/>
      <c r="E472"/>
      <c r="F472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1:20" s="33" customFormat="1">
      <c r="A473"/>
      <c r="B473"/>
      <c r="C473"/>
      <c r="D473"/>
      <c r="E473"/>
      <c r="F473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1:20" s="33" customFormat="1">
      <c r="A474" s="1"/>
      <c r="B474" s="1"/>
      <c r="C474" s="1"/>
      <c r="D474"/>
      <c r="E474"/>
      <c r="F474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1:20" s="33" customFormat="1">
      <c r="A475"/>
      <c r="B475"/>
      <c r="C475"/>
      <c r="D475"/>
      <c r="E475"/>
      <c r="F475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1:20" s="33" customFormat="1">
      <c r="A476"/>
      <c r="B476"/>
      <c r="C476"/>
      <c r="D476"/>
      <c r="E476"/>
      <c r="F476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1:20" s="33" customFormat="1">
      <c r="A477" s="2"/>
      <c r="B477" s="2"/>
      <c r="C477" s="2"/>
      <c r="D477"/>
      <c r="E477"/>
      <c r="F477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1:20" s="33" customFormat="1">
      <c r="A478" s="1"/>
      <c r="B478" s="1"/>
      <c r="C478" s="1"/>
      <c r="D478"/>
      <c r="E478"/>
      <c r="F478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1:20" s="33" customFormat="1">
      <c r="A479" s="1"/>
      <c r="B479" s="1"/>
      <c r="C479" s="1"/>
      <c r="D479"/>
      <c r="E479"/>
      <c r="F479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1:20" s="33" customFormat="1">
      <c r="A480"/>
      <c r="B480"/>
      <c r="C480"/>
      <c r="D480"/>
      <c r="E480"/>
      <c r="F480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1:20" s="33" customFormat="1">
      <c r="A481" s="1"/>
      <c r="B481" s="1"/>
      <c r="C481" s="1"/>
      <c r="D481"/>
      <c r="E481"/>
      <c r="F48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1:20" s="33" customFormat="1">
      <c r="A482"/>
      <c r="B482"/>
      <c r="C482"/>
      <c r="D482"/>
      <c r="E482"/>
      <c r="F482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1:20" s="33" customFormat="1">
      <c r="A483"/>
      <c r="B483"/>
      <c r="C483"/>
      <c r="D483"/>
      <c r="E483"/>
      <c r="F483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1:20" s="33" customFormat="1">
      <c r="A484" s="2"/>
      <c r="B484" s="2"/>
      <c r="C484" s="2"/>
      <c r="D484"/>
      <c r="E484"/>
      <c r="F484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1:20" s="33" customFormat="1">
      <c r="A485" s="1"/>
      <c r="B485" s="1"/>
      <c r="C485" s="1"/>
      <c r="D485"/>
      <c r="E485"/>
      <c r="F485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1:20" s="33" customFormat="1">
      <c r="A486" s="1"/>
      <c r="B486" s="1"/>
      <c r="C486" s="1"/>
      <c r="D486"/>
      <c r="E486"/>
      <c r="F486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1:20" s="33" customFormat="1">
      <c r="A487"/>
      <c r="B487"/>
      <c r="C487"/>
      <c r="D487"/>
      <c r="E487"/>
      <c r="F487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1:20" s="33" customFormat="1">
      <c r="A488" s="1"/>
      <c r="B488" s="1"/>
      <c r="C488" s="1"/>
      <c r="D488"/>
      <c r="E488"/>
      <c r="F488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1:20" s="33" customFormat="1">
      <c r="A489"/>
      <c r="B489"/>
      <c r="C489"/>
      <c r="D489"/>
      <c r="E489"/>
      <c r="F489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1:20" s="33" customFormat="1">
      <c r="A490"/>
      <c r="B490"/>
      <c r="C490"/>
      <c r="D490"/>
      <c r="E490"/>
      <c r="F490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1:20" s="33" customFormat="1">
      <c r="A491" s="2"/>
      <c r="B491" s="2"/>
      <c r="C491" s="2"/>
      <c r="D491"/>
      <c r="E491"/>
      <c r="F49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1:20" s="33" customFormat="1">
      <c r="A492" s="1"/>
      <c r="B492" s="1"/>
      <c r="C492" s="1"/>
      <c r="D492"/>
      <c r="E492"/>
      <c r="F492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1:20" s="33" customFormat="1">
      <c r="A493" s="1"/>
      <c r="B493" s="1"/>
      <c r="C493" s="1"/>
      <c r="D493"/>
      <c r="E493"/>
      <c r="F493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1:20" s="33" customFormat="1">
      <c r="A494"/>
      <c r="B494"/>
      <c r="C494"/>
      <c r="D494"/>
      <c r="E494"/>
      <c r="F494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1:20" s="33" customFormat="1">
      <c r="A495" s="1"/>
      <c r="B495" s="1"/>
      <c r="C495" s="1"/>
      <c r="D495"/>
      <c r="E495"/>
      <c r="F495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1:20" s="33" customFormat="1">
      <c r="A496"/>
      <c r="B496"/>
      <c r="C496"/>
      <c r="D496"/>
      <c r="E496"/>
      <c r="F496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1:20" s="33" customFormat="1">
      <c r="A497"/>
      <c r="B497"/>
      <c r="C497"/>
      <c r="D497"/>
      <c r="E497"/>
      <c r="F497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1:20" s="33" customFormat="1">
      <c r="A498" s="1"/>
      <c r="B498" s="1"/>
      <c r="C498" s="1"/>
      <c r="D498"/>
      <c r="E498"/>
      <c r="F498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1:20" s="33" customFormat="1">
      <c r="A499"/>
      <c r="B499"/>
      <c r="C499"/>
      <c r="D499"/>
      <c r="E499"/>
      <c r="F499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1:20" s="33" customFormat="1">
      <c r="A500"/>
      <c r="B500"/>
      <c r="C500"/>
      <c r="D500"/>
      <c r="E500"/>
      <c r="F500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1:20" s="33" customFormat="1">
      <c r="A501" s="2"/>
      <c r="B501" s="2"/>
      <c r="C501" s="2"/>
      <c r="D501"/>
      <c r="E501"/>
      <c r="F50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1:20" s="33" customFormat="1">
      <c r="A502" s="1"/>
      <c r="B502" s="1"/>
      <c r="C502" s="1"/>
      <c r="D502"/>
      <c r="E502"/>
      <c r="F502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1:20" s="33" customFormat="1">
      <c r="A503" s="1"/>
      <c r="B503" s="1"/>
      <c r="C503" s="1"/>
      <c r="D503"/>
      <c r="E503"/>
      <c r="F503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1:20" s="33" customFormat="1">
      <c r="A504"/>
      <c r="B504"/>
      <c r="C504"/>
      <c r="D504"/>
      <c r="E504"/>
      <c r="F504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1:20" s="33" customFormat="1">
      <c r="A505" s="1"/>
      <c r="B505" s="1"/>
      <c r="C505" s="1"/>
      <c r="D505"/>
      <c r="E505"/>
      <c r="F505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1:20" s="33" customFormat="1">
      <c r="A506"/>
      <c r="B506"/>
      <c r="C506"/>
      <c r="D506"/>
      <c r="E506"/>
      <c r="F506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1:20" s="33" customFormat="1">
      <c r="A507"/>
      <c r="B507"/>
      <c r="C507"/>
      <c r="D507"/>
      <c r="E507"/>
      <c r="F507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1:20" s="33" customFormat="1">
      <c r="A508" s="2"/>
      <c r="B508" s="2"/>
      <c r="C508" s="2"/>
      <c r="D508"/>
      <c r="E508"/>
      <c r="F508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1:20" s="33" customFormat="1">
      <c r="A509" s="1"/>
      <c r="B509" s="1"/>
      <c r="C509" s="1"/>
      <c r="D509"/>
      <c r="E509"/>
      <c r="F509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1:20" s="33" customFormat="1">
      <c r="A510" s="1"/>
      <c r="B510" s="1"/>
      <c r="C510" s="1"/>
      <c r="D510"/>
      <c r="E510"/>
      <c r="F510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1:20" s="33" customFormat="1">
      <c r="A511"/>
      <c r="B511"/>
      <c r="C511"/>
      <c r="D511"/>
      <c r="E511"/>
      <c r="F51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1:20" s="33" customFormat="1">
      <c r="A512" s="1"/>
      <c r="B512" s="1"/>
      <c r="C512" s="1"/>
      <c r="D512"/>
      <c r="E512"/>
      <c r="F512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1:20" s="33" customFormat="1">
      <c r="A513"/>
      <c r="B513"/>
      <c r="C513"/>
      <c r="D513"/>
      <c r="E513"/>
      <c r="F513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1:20" s="33" customFormat="1">
      <c r="A514"/>
      <c r="B514"/>
      <c r="C514"/>
      <c r="D514"/>
      <c r="E514"/>
      <c r="F514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1:20" s="33" customFormat="1">
      <c r="A515" s="2"/>
      <c r="B515" s="2"/>
      <c r="C515" s="2"/>
      <c r="D515"/>
      <c r="E515"/>
      <c r="F515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1:20" s="33" customFormat="1">
      <c r="A516" s="1"/>
      <c r="B516" s="1"/>
      <c r="C516" s="1"/>
      <c r="D516"/>
      <c r="E516"/>
      <c r="F516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1:20" s="33" customFormat="1">
      <c r="A517" s="1"/>
      <c r="B517" s="1"/>
      <c r="C517" s="1"/>
      <c r="D517"/>
      <c r="E517"/>
      <c r="F517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1:20" s="33" customFormat="1">
      <c r="A518"/>
      <c r="B518"/>
      <c r="C518"/>
      <c r="D518"/>
      <c r="E518"/>
      <c r="F518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1:20" s="33" customFormat="1">
      <c r="A519" s="1"/>
      <c r="B519" s="1"/>
      <c r="C519" s="1"/>
      <c r="D519"/>
      <c r="E519"/>
      <c r="F519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1:20" s="33" customFormat="1">
      <c r="A520"/>
      <c r="B520"/>
      <c r="C520"/>
      <c r="D520"/>
      <c r="E520"/>
      <c r="F520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1:20" s="33" customFormat="1">
      <c r="A521"/>
      <c r="B521"/>
      <c r="C521"/>
      <c r="D521"/>
      <c r="E521"/>
      <c r="F52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1:20" s="33" customFormat="1">
      <c r="A522" s="2"/>
      <c r="B522" s="2"/>
      <c r="C522" s="2"/>
      <c r="D522"/>
      <c r="E522"/>
      <c r="F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20" s="33" customFormat="1">
      <c r="A523" s="1"/>
      <c r="B523" s="1"/>
      <c r="C523" s="1"/>
      <c r="D523"/>
      <c r="E523"/>
      <c r="F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20" s="33" customFormat="1">
      <c r="A524" s="1"/>
      <c r="B524" s="1"/>
      <c r="C524" s="1"/>
      <c r="D524"/>
      <c r="E524"/>
      <c r="F524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1:20" s="33" customFormat="1">
      <c r="A525"/>
      <c r="B525"/>
      <c r="C525"/>
      <c r="D525"/>
      <c r="E525"/>
      <c r="F525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1:20" s="33" customFormat="1">
      <c r="A526" s="1"/>
      <c r="B526" s="1"/>
      <c r="C526" s="1"/>
      <c r="D526"/>
      <c r="E526"/>
      <c r="F526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1:20" s="33" customFormat="1">
      <c r="A527"/>
      <c r="B527"/>
      <c r="C527"/>
      <c r="D527"/>
      <c r="E527"/>
      <c r="F527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1:20" s="33" customFormat="1">
      <c r="A528"/>
      <c r="B528"/>
      <c r="C528"/>
      <c r="D528"/>
      <c r="E528"/>
      <c r="F528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1:20" s="33" customFormat="1">
      <c r="A529" s="2"/>
      <c r="B529" s="2"/>
      <c r="C529" s="2"/>
      <c r="D529"/>
      <c r="E529"/>
      <c r="F529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1:20" s="33" customFormat="1">
      <c r="A530" s="1"/>
      <c r="B530" s="1"/>
      <c r="C530" s="1"/>
      <c r="D530"/>
      <c r="E530"/>
      <c r="F530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1:20" s="33" customFormat="1">
      <c r="A531" s="1"/>
      <c r="B531" s="1"/>
      <c r="C531" s="1"/>
      <c r="D531"/>
      <c r="E531"/>
      <c r="F53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1:20" s="33" customFormat="1">
      <c r="A532"/>
      <c r="B532"/>
      <c r="C532"/>
      <c r="D532"/>
      <c r="E532"/>
      <c r="F532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1:20" s="33" customFormat="1">
      <c r="A533" s="1"/>
      <c r="B533" s="1"/>
      <c r="C533" s="1"/>
      <c r="D533"/>
      <c r="E533"/>
      <c r="F533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1:20" s="33" customFormat="1">
      <c r="A534"/>
      <c r="B534"/>
      <c r="C534"/>
      <c r="D534"/>
      <c r="E534"/>
      <c r="F534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1:20" s="33" customFormat="1">
      <c r="A535"/>
      <c r="B535"/>
      <c r="C535"/>
      <c r="D535"/>
      <c r="E535"/>
      <c r="F535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1:20" s="33" customFormat="1">
      <c r="A536" s="2"/>
      <c r="B536" s="2"/>
      <c r="C536" s="2"/>
      <c r="D536"/>
      <c r="E536"/>
      <c r="F536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1:20" s="33" customFormat="1">
      <c r="A537" s="1"/>
      <c r="B537" s="1"/>
      <c r="C537" s="1"/>
      <c r="D537"/>
      <c r="E537"/>
      <c r="F537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1:20" s="33" customFormat="1">
      <c r="A538" s="1"/>
      <c r="B538" s="1"/>
      <c r="C538" s="1"/>
      <c r="D538"/>
      <c r="E538"/>
      <c r="F538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1:20" s="33" customFormat="1">
      <c r="A539"/>
      <c r="B539"/>
      <c r="C539"/>
      <c r="D539"/>
      <c r="E539"/>
      <c r="F539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1:20" s="33" customFormat="1">
      <c r="A540" s="1"/>
      <c r="B540" s="1"/>
      <c r="C540" s="1"/>
      <c r="D540"/>
      <c r="E540"/>
      <c r="F540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1:20" s="33" customFormat="1">
      <c r="A541"/>
      <c r="B541"/>
      <c r="C541"/>
      <c r="D541"/>
      <c r="E541"/>
      <c r="F54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1:20" s="33" customFormat="1">
      <c r="A542"/>
      <c r="B542"/>
      <c r="C542"/>
      <c r="D542"/>
      <c r="E542"/>
      <c r="F542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1:20" s="33" customFormat="1">
      <c r="A543" s="2"/>
      <c r="B543" s="2"/>
      <c r="C543" s="2"/>
      <c r="D543"/>
      <c r="E543"/>
      <c r="F543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1:20" s="33" customFormat="1">
      <c r="A544" s="1"/>
      <c r="B544" s="1"/>
      <c r="C544" s="1"/>
      <c r="D544"/>
      <c r="E544"/>
      <c r="F544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1:20" s="33" customFormat="1">
      <c r="A545" s="1"/>
      <c r="B545" s="1"/>
      <c r="C545" s="1"/>
      <c r="D545"/>
      <c r="E545"/>
      <c r="F545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1:20" s="33" customFormat="1">
      <c r="A546"/>
      <c r="B546"/>
      <c r="C546"/>
      <c r="D546"/>
      <c r="E546"/>
      <c r="F546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1:20" s="33" customFormat="1">
      <c r="A547" s="1"/>
      <c r="B547" s="1"/>
      <c r="C547" s="1"/>
      <c r="D547"/>
      <c r="E547"/>
      <c r="F547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1:20" s="33" customFormat="1">
      <c r="A548"/>
      <c r="B548"/>
      <c r="C548"/>
      <c r="D548"/>
      <c r="E548"/>
      <c r="F548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1:20" s="33" customFormat="1">
      <c r="A549"/>
      <c r="B549"/>
      <c r="C549"/>
      <c r="D549"/>
      <c r="E549"/>
      <c r="F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s="33" customFormat="1">
      <c r="A550" s="2"/>
      <c r="B550" s="2"/>
      <c r="C550" s="2"/>
      <c r="D550"/>
      <c r="E550"/>
      <c r="F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s="33" customFormat="1">
      <c r="A551" s="1"/>
      <c r="B551" s="1"/>
      <c r="C551" s="1"/>
      <c r="D551"/>
      <c r="E551"/>
      <c r="F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s="33" customFormat="1">
      <c r="A552" s="1"/>
      <c r="B552" s="1"/>
      <c r="C552" s="1"/>
      <c r="D552"/>
      <c r="E552"/>
      <c r="F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s="33" customFormat="1">
      <c r="A553"/>
      <c r="B553"/>
      <c r="C553"/>
      <c r="D553"/>
      <c r="E553"/>
      <c r="F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s="33" customFormat="1">
      <c r="A554" s="1"/>
      <c r="B554" s="1"/>
      <c r="C554" s="1"/>
      <c r="D554"/>
      <c r="E554"/>
      <c r="F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s="33" customFormat="1">
      <c r="A555"/>
      <c r="B555"/>
      <c r="C555"/>
      <c r="D555"/>
      <c r="E555"/>
      <c r="F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s="33" customFormat="1">
      <c r="A556"/>
      <c r="B556"/>
      <c r="C556"/>
      <c r="D556"/>
      <c r="E556"/>
      <c r="F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s="33" customFormat="1">
      <c r="A557" s="2"/>
      <c r="B557" s="2"/>
      <c r="C557" s="2"/>
      <c r="D557"/>
      <c r="E557"/>
      <c r="F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s="33" customFormat="1">
      <c r="A558" s="1"/>
      <c r="B558" s="1"/>
      <c r="C558" s="1"/>
      <c r="D558"/>
      <c r="E558"/>
      <c r="F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s="33" customFormat="1">
      <c r="A559" s="1"/>
      <c r="B559" s="1"/>
      <c r="C559" s="1"/>
      <c r="D559"/>
      <c r="E559"/>
      <c r="F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s="33" customFormat="1">
      <c r="A560"/>
      <c r="B560"/>
      <c r="C560"/>
      <c r="D560"/>
      <c r="E560"/>
      <c r="F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s="33" customFormat="1">
      <c r="A561" s="1"/>
      <c r="B561" s="1"/>
      <c r="C561" s="1"/>
      <c r="D561"/>
      <c r="E561"/>
      <c r="F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s="33" customFormat="1">
      <c r="A562"/>
      <c r="B562"/>
      <c r="C562"/>
      <c r="D562"/>
      <c r="E562"/>
      <c r="F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s="33" customFormat="1">
      <c r="A563"/>
      <c r="B563"/>
      <c r="C563"/>
      <c r="D563"/>
      <c r="E563"/>
      <c r="F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s="33" customFormat="1">
      <c r="A564" s="2"/>
      <c r="B564" s="2"/>
      <c r="C564" s="2"/>
      <c r="D564"/>
      <c r="E564"/>
      <c r="F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s="33" customFormat="1">
      <c r="A565" s="1"/>
      <c r="B565" s="1"/>
      <c r="C565" s="1"/>
      <c r="D565"/>
      <c r="E565"/>
      <c r="F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s="33" customFormat="1">
      <c r="A566" s="1"/>
      <c r="B566" s="1"/>
      <c r="C566" s="1"/>
      <c r="D566"/>
      <c r="E566"/>
      <c r="F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s="33" customFormat="1">
      <c r="A567"/>
      <c r="B567"/>
      <c r="C567"/>
      <c r="D567"/>
      <c r="E567"/>
      <c r="F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s="33" customFormat="1">
      <c r="A568" s="1"/>
      <c r="B568" s="1"/>
      <c r="C568" s="1"/>
      <c r="D568"/>
      <c r="E568"/>
      <c r="F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s="33" customFormat="1">
      <c r="A569"/>
      <c r="B569"/>
      <c r="C569"/>
      <c r="D569"/>
      <c r="E569"/>
      <c r="F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s="33" customFormat="1">
      <c r="A570"/>
      <c r="B570"/>
      <c r="C570"/>
      <c r="D570"/>
      <c r="E570"/>
      <c r="F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s="33" customFormat="1">
      <c r="A571" s="2"/>
      <c r="B571" s="2"/>
      <c r="C571" s="2"/>
      <c r="D571"/>
      <c r="E571"/>
      <c r="F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s="33" customFormat="1">
      <c r="A572" s="1"/>
      <c r="B572" s="1"/>
      <c r="C572" s="1"/>
      <c r="D572"/>
      <c r="E572"/>
      <c r="F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s="33" customFormat="1">
      <c r="A573" s="1"/>
      <c r="B573" s="1"/>
      <c r="C573" s="1"/>
      <c r="D573"/>
      <c r="E573"/>
      <c r="F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s="33" customFormat="1">
      <c r="A574"/>
      <c r="B574"/>
      <c r="C574"/>
      <c r="D574"/>
      <c r="E574"/>
      <c r="F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s="33" customFormat="1">
      <c r="A575" s="1"/>
      <c r="B575" s="1"/>
      <c r="C575" s="1"/>
      <c r="D575"/>
      <c r="E575"/>
      <c r="F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s="33" customFormat="1">
      <c r="A576"/>
      <c r="B576"/>
      <c r="C576"/>
      <c r="D576"/>
      <c r="E576"/>
      <c r="F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s="33" customFormat="1">
      <c r="A577"/>
      <c r="B577"/>
      <c r="C577"/>
      <c r="D577"/>
      <c r="E577"/>
      <c r="F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s="33" customFormat="1">
      <c r="A578" s="2"/>
      <c r="B578" s="2"/>
      <c r="C578" s="2"/>
      <c r="D578"/>
      <c r="E578"/>
      <c r="F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s="33" customFormat="1">
      <c r="A579" s="1"/>
      <c r="B579" s="1"/>
      <c r="C579" s="1"/>
      <c r="D579"/>
      <c r="E579"/>
      <c r="F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s="33" customFormat="1">
      <c r="A580" s="1"/>
      <c r="B580" s="1"/>
      <c r="C580" s="1"/>
      <c r="D580"/>
      <c r="E580"/>
      <c r="F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s="33" customFormat="1">
      <c r="A581"/>
      <c r="B581"/>
      <c r="C581"/>
      <c r="D581"/>
      <c r="E581"/>
      <c r="F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s="33" customFormat="1">
      <c r="A582" s="1"/>
      <c r="B582" s="1"/>
      <c r="C582" s="1"/>
      <c r="D582"/>
      <c r="E582"/>
      <c r="F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s="33" customFormat="1">
      <c r="A583"/>
      <c r="B583"/>
      <c r="C583"/>
      <c r="D583"/>
      <c r="E583"/>
      <c r="F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s="33" customFormat="1">
      <c r="A584"/>
      <c r="B584"/>
      <c r="C584"/>
      <c r="D584"/>
      <c r="E584"/>
      <c r="F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s="33" customFormat="1">
      <c r="A585" s="2"/>
      <c r="B585" s="2"/>
      <c r="C585" s="2"/>
      <c r="D585"/>
      <c r="E585"/>
      <c r="F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s="33" customFormat="1">
      <c r="A586" s="1"/>
      <c r="B586" s="1"/>
      <c r="C586" s="1"/>
      <c r="D586"/>
      <c r="E586"/>
      <c r="F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s="33" customFormat="1">
      <c r="A587" s="1"/>
      <c r="B587" s="1"/>
      <c r="C587" s="1"/>
      <c r="D587"/>
      <c r="E587"/>
      <c r="F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s="33" customFormat="1">
      <c r="A588"/>
      <c r="B588"/>
      <c r="C588"/>
      <c r="D588"/>
      <c r="E588"/>
      <c r="F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s="33" customFormat="1">
      <c r="A589" s="1"/>
      <c r="B589" s="1"/>
      <c r="C589" s="1"/>
      <c r="D589"/>
      <c r="E589"/>
      <c r="F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s="33" customFormat="1">
      <c r="A590"/>
      <c r="B590"/>
      <c r="C590"/>
      <c r="D590"/>
      <c r="E590"/>
      <c r="F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s="33" customFormat="1">
      <c r="A591"/>
      <c r="B591"/>
      <c r="C591"/>
      <c r="D591"/>
      <c r="E591"/>
      <c r="F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s="33" customFormat="1">
      <c r="A592" s="2"/>
      <c r="B592" s="2"/>
      <c r="C592" s="2"/>
      <c r="D592"/>
      <c r="E592"/>
      <c r="F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s="33" customFormat="1">
      <c r="A593" s="1"/>
      <c r="B593" s="1"/>
      <c r="C593" s="1"/>
      <c r="D593"/>
      <c r="E593"/>
      <c r="F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s="33" customFormat="1">
      <c r="A594" s="1"/>
      <c r="B594" s="1"/>
      <c r="C594" s="1"/>
      <c r="D594"/>
      <c r="E594"/>
      <c r="F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s="33" customFormat="1">
      <c r="A595"/>
      <c r="B595"/>
      <c r="C595"/>
      <c r="D595"/>
      <c r="E595"/>
      <c r="F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s="33" customFormat="1">
      <c r="A596" s="1"/>
      <c r="B596" s="1"/>
      <c r="C596" s="1"/>
      <c r="D596"/>
      <c r="E596"/>
      <c r="F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s="33" customFormat="1">
      <c r="A597"/>
      <c r="B597"/>
      <c r="C597"/>
      <c r="D597"/>
      <c r="E597"/>
      <c r="F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s="33" customFormat="1">
      <c r="A598"/>
      <c r="B598"/>
      <c r="C598"/>
      <c r="D598"/>
      <c r="E598"/>
      <c r="F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s="33" customFormat="1">
      <c r="A599" s="2"/>
      <c r="B599" s="2"/>
      <c r="C599" s="2"/>
      <c r="D599"/>
      <c r="E599"/>
      <c r="F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s="33" customFormat="1">
      <c r="A600" s="1"/>
      <c r="B600" s="1"/>
      <c r="C600" s="1"/>
      <c r="D600"/>
      <c r="E600"/>
      <c r="F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s="33" customFormat="1">
      <c r="A601" s="1"/>
      <c r="B601" s="1"/>
      <c r="C601" s="1"/>
      <c r="D601"/>
      <c r="E601"/>
      <c r="F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s="33" customFormat="1">
      <c r="A602"/>
      <c r="B602"/>
      <c r="C602"/>
      <c r="D602"/>
      <c r="E602"/>
      <c r="F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s="33" customFormat="1">
      <c r="A603" s="1"/>
      <c r="B603" s="1"/>
      <c r="C603" s="1"/>
      <c r="D603"/>
      <c r="E603"/>
      <c r="F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s="33" customFormat="1">
      <c r="A604"/>
      <c r="B604"/>
      <c r="C604"/>
      <c r="D604"/>
      <c r="E604"/>
      <c r="F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s="33" customFormat="1">
      <c r="A605"/>
      <c r="B605"/>
      <c r="C605"/>
      <c r="D605"/>
      <c r="E605"/>
      <c r="F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s="33" customFormat="1">
      <c r="A606" s="2"/>
      <c r="B606" s="2"/>
      <c r="C606" s="2"/>
      <c r="D606"/>
      <c r="E606"/>
      <c r="F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s="33" customFormat="1">
      <c r="A607" s="1"/>
      <c r="B607" s="1"/>
      <c r="C607" s="1"/>
      <c r="D607"/>
      <c r="E607"/>
      <c r="F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s="33" customFormat="1">
      <c r="A608" s="1"/>
      <c r="B608" s="1"/>
      <c r="C608" s="1"/>
      <c r="D608"/>
      <c r="E608"/>
      <c r="F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s="33" customFormat="1">
      <c r="A609"/>
      <c r="B609"/>
      <c r="C609"/>
      <c r="D609"/>
      <c r="E609"/>
      <c r="F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s="33" customFormat="1">
      <c r="A610" s="1"/>
      <c r="B610" s="1"/>
      <c r="C610" s="1"/>
      <c r="D610"/>
      <c r="E610"/>
      <c r="F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s="33" customFormat="1">
      <c r="A611"/>
      <c r="B611"/>
      <c r="C611"/>
      <c r="D611"/>
      <c r="E611"/>
      <c r="F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s="33" customFormat="1">
      <c r="A612"/>
      <c r="B612"/>
      <c r="C612"/>
      <c r="D612"/>
      <c r="E612"/>
      <c r="F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s="33" customFormat="1">
      <c r="A613" s="2"/>
      <c r="B613" s="2"/>
      <c r="C613" s="2"/>
      <c r="D613"/>
      <c r="E613"/>
      <c r="F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s="33" customFormat="1">
      <c r="A614" s="1"/>
      <c r="B614" s="1"/>
      <c r="C614" s="1"/>
      <c r="D614"/>
      <c r="E614"/>
      <c r="F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s="33" customFormat="1">
      <c r="A615" s="1"/>
      <c r="B615" s="1"/>
      <c r="C615" s="1"/>
      <c r="D615"/>
      <c r="E615"/>
      <c r="F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s="33" customFormat="1">
      <c r="A616"/>
      <c r="B616"/>
      <c r="C616"/>
      <c r="D616"/>
      <c r="E616"/>
      <c r="F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s="33" customFormat="1">
      <c r="A617" s="1"/>
      <c r="B617" s="1"/>
      <c r="C617" s="1"/>
      <c r="D617"/>
      <c r="E617"/>
      <c r="F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s="33" customFormat="1">
      <c r="A618"/>
      <c r="B618"/>
      <c r="C618"/>
      <c r="D618"/>
      <c r="E618"/>
      <c r="F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s="33" customFormat="1">
      <c r="A619"/>
      <c r="B619"/>
      <c r="C619"/>
      <c r="D619"/>
      <c r="E619"/>
      <c r="F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s="33" customFormat="1">
      <c r="A620" s="2"/>
      <c r="B620" s="2"/>
      <c r="C620" s="2"/>
      <c r="D620"/>
      <c r="E620"/>
      <c r="F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s="33" customFormat="1">
      <c r="A621" s="1"/>
      <c r="B621" s="1"/>
      <c r="C621" s="1"/>
      <c r="D621"/>
      <c r="E621"/>
      <c r="F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s="33" customFormat="1">
      <c r="A622" s="1"/>
      <c r="B622" s="1"/>
      <c r="C622" s="1"/>
      <c r="D622"/>
      <c r="E622"/>
      <c r="F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s="33" customFormat="1">
      <c r="A623"/>
      <c r="B623"/>
      <c r="C623"/>
      <c r="D623"/>
      <c r="E623"/>
      <c r="F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s="33" customFormat="1">
      <c r="A624" s="1"/>
      <c r="B624" s="1"/>
      <c r="C624" s="1"/>
      <c r="D624"/>
      <c r="E624"/>
      <c r="F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s="33" customFormat="1">
      <c r="A625"/>
      <c r="B625"/>
      <c r="C625"/>
      <c r="D625"/>
      <c r="E625"/>
      <c r="F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s="33" customFormat="1">
      <c r="A626"/>
      <c r="B626"/>
      <c r="C626"/>
      <c r="D626"/>
      <c r="E626"/>
      <c r="F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s="33" customFormat="1">
      <c r="A627" s="2"/>
      <c r="B627" s="2"/>
      <c r="C627" s="2"/>
      <c r="D627"/>
      <c r="E627"/>
      <c r="F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s="33" customFormat="1">
      <c r="A628" s="1"/>
      <c r="B628" s="1"/>
      <c r="C628" s="1"/>
      <c r="D628"/>
      <c r="E628"/>
      <c r="F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s="33" customFormat="1">
      <c r="A629" s="1"/>
      <c r="B629" s="1"/>
      <c r="C629" s="1"/>
      <c r="D629"/>
      <c r="E629"/>
      <c r="F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s="33" customFormat="1">
      <c r="A630"/>
      <c r="B630"/>
      <c r="C630"/>
      <c r="D630"/>
      <c r="E630"/>
      <c r="F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s="33" customFormat="1">
      <c r="A631" s="1"/>
      <c r="B631" s="1"/>
      <c r="C631" s="1"/>
      <c r="D631"/>
      <c r="E631"/>
      <c r="F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s="33" customFormat="1">
      <c r="A632"/>
      <c r="B632"/>
      <c r="C632"/>
      <c r="D632"/>
      <c r="E632"/>
      <c r="F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s="33" customFormat="1">
      <c r="A633"/>
      <c r="B633"/>
      <c r="C633"/>
      <c r="D633"/>
      <c r="E633"/>
      <c r="F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s="33" customFormat="1">
      <c r="A634" s="2"/>
      <c r="B634" s="2"/>
      <c r="C634" s="2"/>
      <c r="D634"/>
      <c r="E634"/>
      <c r="F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s="33" customFormat="1">
      <c r="A635" s="1"/>
      <c r="B635" s="1"/>
      <c r="C635" s="1"/>
      <c r="D635"/>
      <c r="E635"/>
      <c r="F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s="33" customFormat="1">
      <c r="A636" s="1"/>
      <c r="B636" s="1"/>
      <c r="C636" s="1"/>
      <c r="D636"/>
      <c r="E636"/>
      <c r="F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s="33" customFormat="1">
      <c r="A637"/>
      <c r="B637"/>
      <c r="C637"/>
      <c r="D637"/>
      <c r="E637"/>
      <c r="F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s="33" customFormat="1">
      <c r="A638" s="1"/>
      <c r="B638" s="1"/>
      <c r="C638" s="1"/>
      <c r="D638"/>
      <c r="E638"/>
      <c r="F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s="33" customFormat="1">
      <c r="A639"/>
      <c r="B639"/>
      <c r="C639"/>
      <c r="D639"/>
      <c r="E639"/>
      <c r="F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s="33" customFormat="1">
      <c r="A640"/>
      <c r="B640"/>
      <c r="C640"/>
      <c r="D640"/>
      <c r="E640"/>
      <c r="F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s="33" customFormat="1">
      <c r="A641" s="2"/>
      <c r="B641" s="2"/>
      <c r="C641" s="2"/>
      <c r="D641"/>
      <c r="E641"/>
      <c r="F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s="33" customFormat="1">
      <c r="A642" s="1"/>
      <c r="B642" s="1"/>
      <c r="C642" s="1"/>
      <c r="D642"/>
      <c r="E642"/>
      <c r="F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s="33" customFormat="1">
      <c r="A643" s="1"/>
      <c r="B643" s="1"/>
      <c r="C643" s="1"/>
      <c r="D643"/>
      <c r="E643"/>
      <c r="F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s="33" customFormat="1">
      <c r="A644"/>
      <c r="B644"/>
      <c r="C644"/>
      <c r="D644"/>
      <c r="E644"/>
      <c r="F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s="33" customFormat="1">
      <c r="A645" s="1"/>
      <c r="B645" s="1"/>
      <c r="C645" s="1"/>
      <c r="D645"/>
      <c r="E645"/>
      <c r="F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s="33" customFormat="1">
      <c r="A646"/>
      <c r="B646"/>
      <c r="C646"/>
      <c r="D646"/>
      <c r="E646"/>
      <c r="F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s="33" customFormat="1">
      <c r="A647"/>
      <c r="B647"/>
      <c r="C647"/>
      <c r="D647"/>
      <c r="E647"/>
      <c r="F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s="33" customFormat="1">
      <c r="A648" s="2"/>
      <c r="B648" s="2"/>
      <c r="C648" s="2"/>
      <c r="D648"/>
      <c r="E648"/>
      <c r="F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s="33" customFormat="1">
      <c r="A649" s="1"/>
      <c r="B649" s="1"/>
      <c r="C649" s="1"/>
      <c r="D649"/>
      <c r="E649"/>
      <c r="F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s="33" customFormat="1">
      <c r="A650" s="1"/>
      <c r="B650" s="1"/>
      <c r="C650" s="1"/>
      <c r="D650"/>
      <c r="E650"/>
      <c r="F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s="33" customFormat="1">
      <c r="A651"/>
      <c r="B651"/>
      <c r="C651"/>
      <c r="D651"/>
      <c r="E651"/>
      <c r="F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s="33" customFormat="1">
      <c r="A652" s="1"/>
      <c r="B652" s="1"/>
      <c r="C652" s="1"/>
      <c r="D652"/>
      <c r="E652"/>
      <c r="F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s="33" customFormat="1">
      <c r="A653"/>
      <c r="B653"/>
      <c r="C653"/>
      <c r="D653"/>
      <c r="E653"/>
      <c r="F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s="33" customFormat="1">
      <c r="A654"/>
      <c r="B654"/>
      <c r="C654"/>
      <c r="D654"/>
      <c r="E654"/>
      <c r="F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s="33" customFormat="1">
      <c r="A655" s="2"/>
      <c r="B655" s="2"/>
      <c r="C655" s="2"/>
      <c r="D655"/>
      <c r="E655"/>
      <c r="F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s="33" customFormat="1">
      <c r="A656" s="1"/>
      <c r="B656" s="1"/>
      <c r="C656" s="1"/>
      <c r="D656"/>
      <c r="E656"/>
      <c r="F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s="33" customFormat="1">
      <c r="A657" s="1"/>
      <c r="B657" s="1"/>
      <c r="C657" s="1"/>
      <c r="D657"/>
      <c r="E657"/>
      <c r="F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s="33" customFormat="1">
      <c r="A658"/>
      <c r="B658"/>
      <c r="C658"/>
      <c r="D658"/>
      <c r="E658"/>
      <c r="F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s="33" customFormat="1">
      <c r="A659" s="1"/>
      <c r="B659" s="1"/>
      <c r="C659" s="1"/>
      <c r="D659"/>
      <c r="E659"/>
      <c r="F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s="33" customFormat="1">
      <c r="A660"/>
      <c r="B660"/>
      <c r="C660"/>
      <c r="D660"/>
      <c r="E660"/>
      <c r="F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s="33" customFormat="1">
      <c r="A661"/>
      <c r="B661"/>
      <c r="C661"/>
      <c r="D661"/>
      <c r="E661"/>
      <c r="F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s="33" customFormat="1">
      <c r="A662" s="2"/>
      <c r="B662" s="2"/>
      <c r="C662" s="2"/>
      <c r="D662"/>
      <c r="E662"/>
      <c r="F662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s="33" customFormat="1">
      <c r="A663" s="1"/>
      <c r="B663" s="1"/>
      <c r="C663" s="1"/>
      <c r="D663"/>
      <c r="E663"/>
      <c r="F663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s="33" customFormat="1">
      <c r="A664" s="1"/>
      <c r="B664" s="1"/>
      <c r="C664" s="1"/>
      <c r="D664"/>
      <c r="E664"/>
      <c r="F664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s="33" customFormat="1">
      <c r="A665"/>
      <c r="B665"/>
      <c r="C665"/>
      <c r="D665"/>
      <c r="E665"/>
      <c r="F665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s="33" customFormat="1">
      <c r="A666" s="1"/>
      <c r="B666" s="1"/>
      <c r="C666" s="1"/>
      <c r="D666"/>
      <c r="E666"/>
      <c r="F666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s="33" customFormat="1">
      <c r="A667"/>
      <c r="B667"/>
      <c r="C667"/>
      <c r="D667"/>
      <c r="E667"/>
      <c r="F667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s="33" customFormat="1">
      <c r="A668"/>
      <c r="B668"/>
      <c r="C668"/>
      <c r="D668"/>
      <c r="E668"/>
      <c r="F668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s="33" customFormat="1">
      <c r="A669" s="2"/>
      <c r="B669" s="2"/>
      <c r="C669" s="2"/>
      <c r="D669"/>
      <c r="E669"/>
      <c r="F669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s="33" customFormat="1">
      <c r="A670" s="1"/>
      <c r="B670" s="1"/>
      <c r="C670" s="1"/>
      <c r="D670"/>
      <c r="E670"/>
      <c r="F670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s="33" customFormat="1">
      <c r="A671" s="1"/>
      <c r="B671" s="1"/>
      <c r="C671" s="1"/>
      <c r="D671"/>
      <c r="E671"/>
      <c r="F67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s="33" customFormat="1">
      <c r="A672"/>
      <c r="B672"/>
      <c r="C672"/>
      <c r="D672"/>
      <c r="E672"/>
      <c r="F672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s="33" customFormat="1">
      <c r="A673" s="1"/>
      <c r="B673" s="1"/>
      <c r="C673" s="1"/>
      <c r="D673"/>
      <c r="E673"/>
      <c r="F673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s="33" customFormat="1">
      <c r="A674"/>
      <c r="B674"/>
      <c r="C674"/>
      <c r="D674"/>
      <c r="E674"/>
      <c r="F674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s="33" customFormat="1">
      <c r="A675"/>
      <c r="B675"/>
      <c r="C675"/>
      <c r="D675"/>
      <c r="E675"/>
      <c r="F675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s="33" customFormat="1">
      <c r="A676" s="2"/>
      <c r="B676" s="2"/>
      <c r="C676" s="2"/>
      <c r="D676"/>
      <c r="E676"/>
      <c r="F676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s="33" customFormat="1">
      <c r="A677" s="1"/>
      <c r="B677" s="1"/>
      <c r="C677" s="1"/>
      <c r="D677"/>
      <c r="E677"/>
      <c r="F677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s="33" customFormat="1">
      <c r="A678" s="1"/>
      <c r="B678" s="1"/>
      <c r="C678" s="1"/>
      <c r="D678"/>
      <c r="E678"/>
      <c r="F678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s="33" customFormat="1">
      <c r="A679"/>
      <c r="B679"/>
      <c r="C679"/>
      <c r="D679"/>
      <c r="E679"/>
      <c r="F679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s="33" customFormat="1">
      <c r="A680" s="1"/>
      <c r="B680" s="1"/>
      <c r="C680" s="1"/>
      <c r="D680"/>
      <c r="E680"/>
      <c r="F680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s="33" customFormat="1">
      <c r="A681"/>
      <c r="B681"/>
      <c r="C681"/>
      <c r="D681"/>
      <c r="E681"/>
      <c r="F68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s="33" customFormat="1">
      <c r="A682"/>
      <c r="B682"/>
      <c r="C682"/>
      <c r="D682"/>
      <c r="E682"/>
      <c r="F682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s="33" customFormat="1">
      <c r="A683" s="2"/>
      <c r="B683" s="2"/>
      <c r="C683" s="2"/>
      <c r="D683"/>
      <c r="E683"/>
      <c r="F683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s="33" customFormat="1">
      <c r="A684" s="1"/>
      <c r="B684" s="1"/>
      <c r="C684" s="1"/>
      <c r="D684"/>
      <c r="E684"/>
      <c r="F684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s="33" customFormat="1">
      <c r="A685" s="1"/>
      <c r="B685" s="1"/>
      <c r="C685" s="1"/>
      <c r="D685"/>
      <c r="E685"/>
      <c r="F685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s="33" customFormat="1">
      <c r="A686"/>
      <c r="B686"/>
      <c r="C686"/>
      <c r="D686"/>
      <c r="E686"/>
      <c r="F686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s="33" customFormat="1">
      <c r="A687" s="1"/>
      <c r="B687" s="1"/>
      <c r="C687" s="1"/>
      <c r="D687"/>
      <c r="E687"/>
      <c r="F687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s="33" customFormat="1">
      <c r="A688"/>
      <c r="B688"/>
      <c r="C688"/>
      <c r="D688"/>
      <c r="E688"/>
      <c r="F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s="33" customFormat="1">
      <c r="A689"/>
      <c r="B689"/>
      <c r="C689"/>
      <c r="D689"/>
      <c r="E689"/>
      <c r="F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s="33" customFormat="1">
      <c r="A690" s="2"/>
      <c r="B690" s="2"/>
      <c r="C690" s="2"/>
      <c r="D690"/>
      <c r="E690"/>
      <c r="F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s="33" customFormat="1">
      <c r="A691" s="1"/>
      <c r="B691" s="1"/>
      <c r="C691" s="1"/>
      <c r="D691"/>
      <c r="E691"/>
      <c r="F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s="33" customFormat="1">
      <c r="A692" s="1"/>
      <c r="B692" s="1"/>
      <c r="C692" s="1"/>
      <c r="D692"/>
      <c r="E692"/>
      <c r="F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s="33" customFormat="1">
      <c r="A693"/>
      <c r="B693"/>
      <c r="C693"/>
      <c r="D693"/>
      <c r="E693"/>
      <c r="F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s="33" customFormat="1">
      <c r="A694" s="1"/>
      <c r="B694" s="1"/>
      <c r="C694" s="1"/>
      <c r="D694"/>
      <c r="E694"/>
      <c r="F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s="33" customFormat="1">
      <c r="A695"/>
      <c r="B695"/>
      <c r="C695"/>
      <c r="D695"/>
      <c r="E695"/>
      <c r="F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s="33" customFormat="1">
      <c r="A696"/>
      <c r="B696"/>
      <c r="C696"/>
      <c r="D696"/>
      <c r="E696"/>
      <c r="F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s="33" customFormat="1">
      <c r="A697" s="2"/>
      <c r="B697" s="2"/>
      <c r="C697" s="2"/>
      <c r="D697"/>
      <c r="E697"/>
      <c r="F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s="33" customFormat="1">
      <c r="A698" s="1"/>
      <c r="B698" s="1"/>
      <c r="C698" s="1"/>
      <c r="D698"/>
      <c r="E698"/>
      <c r="F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s="33" customFormat="1">
      <c r="A699" s="1"/>
      <c r="B699" s="1"/>
      <c r="C699" s="1"/>
      <c r="D699"/>
      <c r="E699"/>
      <c r="F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s="33" customFormat="1">
      <c r="A700"/>
      <c r="B700"/>
      <c r="C700"/>
      <c r="D700"/>
      <c r="E700"/>
      <c r="F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s="33" customFormat="1">
      <c r="A701" s="1"/>
      <c r="B701" s="1"/>
      <c r="C701" s="1"/>
      <c r="D701"/>
      <c r="E701"/>
      <c r="F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s="33" customFormat="1">
      <c r="A702"/>
      <c r="B702"/>
      <c r="C702"/>
      <c r="D702"/>
      <c r="E702"/>
      <c r="F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s="33" customFormat="1">
      <c r="A703"/>
      <c r="B703"/>
      <c r="C703"/>
      <c r="D703"/>
      <c r="E703"/>
      <c r="F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s="33" customFormat="1">
      <c r="A704" s="2"/>
      <c r="B704" s="2"/>
      <c r="C704" s="2"/>
      <c r="D704"/>
      <c r="E704"/>
      <c r="F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s="33" customFormat="1">
      <c r="A705" s="1"/>
      <c r="B705" s="1"/>
      <c r="C705" s="1"/>
      <c r="D705"/>
      <c r="E705"/>
      <c r="F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s="33" customFormat="1">
      <c r="A706" s="1"/>
      <c r="B706" s="1"/>
      <c r="C706" s="1"/>
      <c r="D706"/>
      <c r="E706"/>
      <c r="F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s="33" customFormat="1">
      <c r="A707"/>
      <c r="B707"/>
      <c r="C707"/>
      <c r="D707"/>
      <c r="E707"/>
      <c r="F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s="33" customFormat="1">
      <c r="A708" s="1"/>
      <c r="B708" s="1"/>
      <c r="C708" s="1"/>
      <c r="D708"/>
      <c r="E708"/>
      <c r="F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s="33" customFormat="1">
      <c r="A709"/>
      <c r="B709"/>
      <c r="C709"/>
      <c r="D709"/>
      <c r="E709"/>
      <c r="F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s="33" customFormat="1">
      <c r="A710"/>
      <c r="B710"/>
      <c r="C710"/>
      <c r="D710"/>
      <c r="E710"/>
      <c r="F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s="33" customFormat="1">
      <c r="A711" s="2"/>
      <c r="B711" s="2"/>
      <c r="C711" s="2"/>
      <c r="D711"/>
      <c r="E711"/>
      <c r="F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s="33" customFormat="1">
      <c r="A712" s="1"/>
      <c r="B712" s="1"/>
      <c r="C712" s="1"/>
      <c r="D712"/>
      <c r="E712"/>
      <c r="F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s="33" customFormat="1">
      <c r="A713" s="1"/>
      <c r="B713" s="1"/>
      <c r="C713" s="1"/>
      <c r="D713"/>
      <c r="E713"/>
      <c r="F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s="33" customFormat="1">
      <c r="A714"/>
      <c r="B714"/>
      <c r="C714"/>
      <c r="D714"/>
      <c r="E714"/>
      <c r="F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s="33" customFormat="1">
      <c r="A715" s="1"/>
      <c r="B715" s="1"/>
      <c r="C715" s="1"/>
      <c r="D715"/>
      <c r="E715"/>
      <c r="F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s="33" customFormat="1">
      <c r="A716"/>
      <c r="B716"/>
      <c r="C716"/>
      <c r="D716"/>
      <c r="E716"/>
      <c r="F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s="33" customFormat="1">
      <c r="A717"/>
      <c r="B717"/>
      <c r="C717"/>
      <c r="D717"/>
      <c r="E717"/>
      <c r="F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s="33" customFormat="1">
      <c r="A718" s="2"/>
      <c r="B718" s="2"/>
      <c r="C718" s="2"/>
      <c r="D718"/>
      <c r="E718"/>
      <c r="F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s="33" customFormat="1">
      <c r="A719" s="1"/>
      <c r="B719" s="1"/>
      <c r="C719" s="1"/>
      <c r="D719"/>
      <c r="E719"/>
      <c r="F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s="33" customFormat="1">
      <c r="A720" s="1"/>
      <c r="B720" s="1"/>
      <c r="C720" s="1"/>
      <c r="D720"/>
      <c r="E720"/>
      <c r="F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s="33" customFormat="1">
      <c r="A721"/>
      <c r="B721"/>
      <c r="C721"/>
      <c r="D721"/>
      <c r="E721"/>
      <c r="F72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s="33" customFormat="1">
      <c r="A722" s="1"/>
      <c r="B722" s="1"/>
      <c r="C722" s="1"/>
      <c r="D722"/>
      <c r="E722"/>
      <c r="F722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s="33" customFormat="1">
      <c r="A723"/>
      <c r="B723"/>
      <c r="C723"/>
      <c r="D723"/>
      <c r="E723"/>
      <c r="F723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s="33" customFormat="1">
      <c r="A724"/>
      <c r="B724"/>
      <c r="C724"/>
      <c r="D724"/>
      <c r="E724"/>
      <c r="F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s="33" customFormat="1">
      <c r="A725" s="1"/>
      <c r="B725" s="1"/>
      <c r="C725" s="1"/>
      <c r="D725"/>
      <c r="E725"/>
      <c r="F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s="33" customFormat="1">
      <c r="A726"/>
      <c r="B726"/>
      <c r="C726"/>
      <c r="D726"/>
      <c r="E726"/>
      <c r="F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s="33" customFormat="1">
      <c r="A727"/>
      <c r="B727"/>
      <c r="C727"/>
      <c r="D727"/>
      <c r="E727"/>
      <c r="F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s="33" customFormat="1">
      <c r="A728" s="2"/>
      <c r="B728" s="2"/>
      <c r="C728" s="2"/>
      <c r="D728"/>
      <c r="E728"/>
      <c r="F728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s="33" customFormat="1">
      <c r="A729" s="1"/>
      <c r="B729" s="1"/>
      <c r="C729" s="1"/>
      <c r="D729"/>
      <c r="E729"/>
      <c r="F729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s="33" customFormat="1">
      <c r="A730" s="1"/>
      <c r="B730" s="1"/>
      <c r="C730" s="1"/>
      <c r="D730"/>
      <c r="E730"/>
      <c r="F730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s="33" customFormat="1">
      <c r="A731"/>
      <c r="B731"/>
      <c r="C731"/>
      <c r="D731"/>
      <c r="E731"/>
      <c r="F73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s="33" customFormat="1">
      <c r="A732" s="1"/>
      <c r="B732" s="1"/>
      <c r="C732" s="1"/>
      <c r="D732"/>
      <c r="E732"/>
      <c r="F732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s="33" customFormat="1">
      <c r="A733"/>
      <c r="B733"/>
      <c r="C733"/>
      <c r="D733"/>
      <c r="E733"/>
      <c r="F733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s="33" customFormat="1">
      <c r="A734"/>
      <c r="B734"/>
      <c r="C734"/>
      <c r="D734"/>
      <c r="E734"/>
      <c r="F734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s="33" customFormat="1">
      <c r="A735" s="2"/>
      <c r="B735" s="2"/>
      <c r="C735" s="2"/>
      <c r="D735"/>
      <c r="E735"/>
      <c r="F735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s="33" customFormat="1">
      <c r="A736" s="1"/>
      <c r="B736" s="1"/>
      <c r="C736" s="1"/>
      <c r="D736"/>
      <c r="E736"/>
      <c r="F736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s="33" customFormat="1">
      <c r="A737" s="1"/>
      <c r="B737" s="1"/>
      <c r="C737" s="1"/>
      <c r="D737"/>
      <c r="E737"/>
      <c r="F737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s="33" customFormat="1">
      <c r="A738"/>
      <c r="B738"/>
      <c r="C738"/>
      <c r="D738"/>
      <c r="E738"/>
      <c r="F738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s="33" customFormat="1">
      <c r="A739" s="1"/>
      <c r="B739" s="1"/>
      <c r="C739" s="1"/>
      <c r="D739"/>
      <c r="E739"/>
      <c r="F739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s="33" customFormat="1">
      <c r="A740"/>
      <c r="B740"/>
      <c r="C740"/>
      <c r="D740"/>
      <c r="E740"/>
      <c r="F740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s="33" customFormat="1">
      <c r="A741"/>
      <c r="B741"/>
      <c r="C741"/>
      <c r="D741"/>
      <c r="E741"/>
      <c r="F74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s="33" customFormat="1">
      <c r="A742" s="2"/>
      <c r="B742" s="2"/>
      <c r="C742" s="2"/>
      <c r="D742"/>
      <c r="E742"/>
      <c r="F742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s="33" customFormat="1">
      <c r="A743" s="1"/>
      <c r="B743" s="1"/>
      <c r="C743" s="1"/>
      <c r="D743"/>
      <c r="E743"/>
      <c r="F743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s="33" customFormat="1">
      <c r="A744" s="1"/>
      <c r="B744" s="1"/>
      <c r="C744" s="1"/>
      <c r="D744"/>
      <c r="E744"/>
      <c r="F744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s="33" customFormat="1">
      <c r="A745"/>
      <c r="B745"/>
      <c r="C745"/>
      <c r="D745"/>
      <c r="E745"/>
      <c r="F745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s="33" customFormat="1">
      <c r="A746" s="1"/>
      <c r="B746" s="1"/>
      <c r="C746" s="1"/>
      <c r="D746"/>
      <c r="E746"/>
      <c r="F746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s="33" customFormat="1">
      <c r="A747"/>
      <c r="B747"/>
      <c r="C747"/>
      <c r="D747"/>
      <c r="E747"/>
      <c r="F747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s="33" customFormat="1">
      <c r="A748"/>
      <c r="B748"/>
      <c r="C748"/>
      <c r="D748"/>
      <c r="E748"/>
      <c r="F748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s="33" customFormat="1">
      <c r="A749" s="2"/>
      <c r="B749" s="2"/>
      <c r="C749" s="2"/>
      <c r="D749"/>
      <c r="E749"/>
      <c r="F749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s="33" customFormat="1">
      <c r="A750" s="1"/>
      <c r="B750" s="1"/>
      <c r="C750" s="1"/>
      <c r="D750"/>
      <c r="E750"/>
      <c r="F750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s="33" customFormat="1">
      <c r="A751" s="1"/>
      <c r="B751" s="1"/>
      <c r="C751" s="1"/>
      <c r="D751"/>
      <c r="E751"/>
      <c r="F75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s="33" customFormat="1">
      <c r="A752"/>
      <c r="B752"/>
      <c r="C752"/>
      <c r="D752"/>
      <c r="E752"/>
      <c r="F752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s="33" customFormat="1">
      <c r="A753" s="1"/>
      <c r="B753" s="1"/>
      <c r="C753" s="1"/>
      <c r="D753"/>
      <c r="E753"/>
      <c r="F753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s="33" customFormat="1">
      <c r="A754"/>
      <c r="B754"/>
      <c r="C754"/>
      <c r="D754"/>
      <c r="E754"/>
      <c r="F754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s="33" customFormat="1">
      <c r="A755"/>
      <c r="B755"/>
      <c r="C755"/>
      <c r="D755"/>
      <c r="E755"/>
      <c r="F755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s="33" customFormat="1">
      <c r="A756" s="2"/>
      <c r="B756" s="2"/>
      <c r="C756" s="2"/>
      <c r="D756"/>
      <c r="E756"/>
      <c r="F756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s="33" customFormat="1">
      <c r="A757" s="1"/>
      <c r="B757" s="1"/>
      <c r="C757" s="1"/>
      <c r="D757"/>
      <c r="E757"/>
      <c r="F757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s="33" customFormat="1">
      <c r="A758" s="1"/>
      <c r="B758" s="1"/>
      <c r="C758" s="1"/>
      <c r="D758"/>
      <c r="E758"/>
      <c r="F758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s="33" customFormat="1">
      <c r="A759"/>
      <c r="B759"/>
      <c r="C759"/>
      <c r="D759"/>
      <c r="E759"/>
      <c r="F759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s="33" customFormat="1">
      <c r="A760" s="1"/>
      <c r="B760" s="1"/>
      <c r="C760" s="1"/>
      <c r="D760"/>
      <c r="E760"/>
      <c r="F760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s="33" customFormat="1">
      <c r="A761"/>
      <c r="B761"/>
      <c r="C761"/>
      <c r="D761"/>
      <c r="E761"/>
      <c r="F76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s="33" customFormat="1">
      <c r="A762"/>
      <c r="B762"/>
      <c r="C762"/>
      <c r="D762"/>
      <c r="E762"/>
      <c r="F762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s="33" customFormat="1">
      <c r="A763" s="2"/>
      <c r="B763" s="2"/>
      <c r="C763" s="2"/>
      <c r="D763"/>
      <c r="E763"/>
      <c r="F763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s="33" customFormat="1">
      <c r="A764" s="1"/>
      <c r="B764" s="1"/>
      <c r="C764" s="1"/>
      <c r="D764"/>
      <c r="E764"/>
      <c r="F764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s="33" customFormat="1">
      <c r="A765" s="1"/>
      <c r="B765" s="1"/>
      <c r="C765" s="1"/>
      <c r="D765"/>
      <c r="E765"/>
      <c r="F765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s="33" customFormat="1">
      <c r="A766"/>
      <c r="B766"/>
      <c r="C766"/>
      <c r="D766"/>
      <c r="E766"/>
      <c r="F766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s="33" customFormat="1">
      <c r="A767" s="1"/>
      <c r="B767" s="1"/>
      <c r="C767" s="1"/>
      <c r="D767"/>
      <c r="E767"/>
      <c r="F767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s="33" customFormat="1">
      <c r="A768"/>
      <c r="B768"/>
      <c r="C768"/>
      <c r="D768"/>
      <c r="E768"/>
      <c r="F768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s="33" customFormat="1">
      <c r="A769"/>
      <c r="B769"/>
      <c r="C769"/>
      <c r="D769"/>
      <c r="E769"/>
      <c r="F769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s="33" customFormat="1">
      <c r="A770" s="2"/>
      <c r="B770" s="2"/>
      <c r="C770" s="2"/>
      <c r="D770"/>
      <c r="E770"/>
      <c r="F770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s="33" customFormat="1">
      <c r="A771" s="1"/>
      <c r="B771" s="1"/>
      <c r="C771" s="1"/>
      <c r="D771"/>
      <c r="E771"/>
      <c r="F77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s="33" customFormat="1">
      <c r="A772" s="1"/>
      <c r="B772" s="1"/>
      <c r="C772" s="1"/>
      <c r="D772"/>
      <c r="E772"/>
      <c r="F772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s="33" customFormat="1">
      <c r="A773"/>
      <c r="B773"/>
      <c r="C773"/>
      <c r="D773"/>
      <c r="E773"/>
      <c r="F773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s="33" customFormat="1">
      <c r="A774" s="1"/>
      <c r="B774" s="1"/>
      <c r="C774" s="1"/>
      <c r="D774"/>
      <c r="E774"/>
      <c r="F774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s="33" customFormat="1">
      <c r="A775"/>
      <c r="B775"/>
      <c r="C775"/>
      <c r="D775"/>
      <c r="E775"/>
      <c r="F775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s="33" customFormat="1">
      <c r="A776"/>
      <c r="B776"/>
      <c r="C776"/>
      <c r="D776"/>
      <c r="E776"/>
      <c r="F776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s="33" customFormat="1">
      <c r="A777" s="2"/>
      <c r="B777" s="2"/>
      <c r="C777" s="2"/>
      <c r="D777"/>
      <c r="E777"/>
      <c r="F777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s="33" customFormat="1">
      <c r="A778" s="1"/>
      <c r="B778" s="1"/>
      <c r="C778" s="1"/>
      <c r="D778"/>
      <c r="E778"/>
      <c r="F778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s="33" customFormat="1">
      <c r="A779" s="1"/>
      <c r="B779" s="1"/>
      <c r="C779" s="1"/>
      <c r="D779"/>
      <c r="E779"/>
      <c r="F779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s="33" customFormat="1">
      <c r="A780"/>
      <c r="B780"/>
      <c r="C780"/>
      <c r="D780"/>
      <c r="E780"/>
      <c r="F780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s="33" customFormat="1">
      <c r="A781" s="1"/>
      <c r="B781" s="1"/>
      <c r="C781" s="1"/>
      <c r="D781"/>
      <c r="E781"/>
      <c r="F78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s="33" customFormat="1">
      <c r="A782"/>
      <c r="B782"/>
      <c r="C782"/>
      <c r="D782"/>
      <c r="E782"/>
      <c r="F782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s="33" customFormat="1">
      <c r="A783"/>
      <c r="B783"/>
      <c r="C783"/>
      <c r="D783"/>
      <c r="E783"/>
      <c r="F783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s="33" customFormat="1">
      <c r="A784" s="2"/>
      <c r="B784" s="2"/>
      <c r="C784" s="2"/>
      <c r="D784"/>
      <c r="E784"/>
      <c r="F784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s="33" customFormat="1">
      <c r="A785" s="1"/>
      <c r="B785" s="1"/>
      <c r="C785" s="1"/>
      <c r="D785"/>
      <c r="E785"/>
      <c r="F785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s="33" customFormat="1">
      <c r="A786" s="1"/>
      <c r="B786" s="1"/>
      <c r="C786" s="1"/>
      <c r="D786"/>
      <c r="E786"/>
      <c r="F786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s="33" customFormat="1">
      <c r="A787"/>
      <c r="B787"/>
      <c r="C787"/>
      <c r="D787"/>
      <c r="E787"/>
      <c r="F787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s="33" customFormat="1">
      <c r="A788" s="1"/>
      <c r="B788" s="1"/>
      <c r="C788" s="1"/>
      <c r="D788"/>
      <c r="E788"/>
      <c r="F788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s="33" customFormat="1">
      <c r="A789"/>
      <c r="B789"/>
      <c r="C789"/>
      <c r="D789"/>
      <c r="E789"/>
      <c r="F789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s="33" customFormat="1">
      <c r="A790"/>
      <c r="B790"/>
      <c r="C790"/>
      <c r="D790"/>
      <c r="E790"/>
      <c r="F790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s="33" customFormat="1">
      <c r="A791" s="2"/>
      <c r="B791" s="2"/>
      <c r="C791" s="2"/>
      <c r="D791"/>
      <c r="E791"/>
      <c r="F79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s="33" customFormat="1">
      <c r="A792" s="1"/>
      <c r="B792" s="1"/>
      <c r="C792" s="1"/>
      <c r="D792"/>
      <c r="E792"/>
      <c r="F792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s="33" customFormat="1">
      <c r="A793" s="1"/>
      <c r="B793" s="1"/>
      <c r="C793" s="1"/>
      <c r="D793"/>
      <c r="E793"/>
      <c r="F793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s="33" customFormat="1">
      <c r="A794"/>
      <c r="B794"/>
      <c r="C794"/>
      <c r="D794"/>
      <c r="E794"/>
      <c r="F794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s="33" customFormat="1">
      <c r="A795" s="1"/>
      <c r="B795" s="1"/>
      <c r="C795" s="1"/>
      <c r="D795"/>
      <c r="E795"/>
      <c r="F795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s="33" customFormat="1">
      <c r="A796"/>
      <c r="B796"/>
      <c r="C796"/>
      <c r="D796"/>
      <c r="E796"/>
      <c r="F796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s="33" customFormat="1">
      <c r="A797"/>
      <c r="B797"/>
      <c r="C797"/>
      <c r="D797"/>
      <c r="E797"/>
      <c r="F797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s="33" customFormat="1">
      <c r="A798" s="2"/>
      <c r="B798" s="2"/>
      <c r="C798" s="2"/>
      <c r="D798"/>
      <c r="E798"/>
      <c r="F798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s="33" customFormat="1">
      <c r="A799" s="1"/>
      <c r="B799" s="1"/>
      <c r="C799" s="1"/>
      <c r="D799"/>
      <c r="E799"/>
      <c r="F799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s="33" customFormat="1">
      <c r="A800" s="1"/>
      <c r="B800" s="1"/>
      <c r="C800" s="1"/>
      <c r="D800"/>
      <c r="E800"/>
      <c r="F800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s="33" customFormat="1">
      <c r="A801"/>
      <c r="B801"/>
      <c r="C801"/>
      <c r="D801"/>
      <c r="E801"/>
      <c r="F80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s="33" customFormat="1">
      <c r="A802" s="1"/>
      <c r="B802" s="1"/>
      <c r="C802" s="1"/>
      <c r="D802"/>
      <c r="E802"/>
      <c r="F802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s="33" customFormat="1">
      <c r="A803"/>
      <c r="B803"/>
      <c r="C803"/>
      <c r="D803"/>
      <c r="E803"/>
      <c r="F803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s="33" customFormat="1">
      <c r="A804"/>
      <c r="B804"/>
      <c r="C804"/>
      <c r="D804"/>
      <c r="E804"/>
      <c r="F804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s="33" customFormat="1">
      <c r="A805" s="2"/>
      <c r="B805" s="2"/>
      <c r="C805" s="2"/>
      <c r="D805"/>
      <c r="E805"/>
      <c r="F805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s="33" customFormat="1">
      <c r="A806" s="1"/>
      <c r="B806" s="1"/>
      <c r="C806" s="1"/>
      <c r="D806"/>
      <c r="E806"/>
      <c r="F806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s="33" customFormat="1">
      <c r="A807" s="1"/>
      <c r="B807" s="1"/>
      <c r="C807" s="1"/>
      <c r="D807"/>
      <c r="E807"/>
      <c r="F807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s="33" customFormat="1">
      <c r="A808"/>
      <c r="B808"/>
      <c r="C808"/>
      <c r="D808"/>
      <c r="E808"/>
      <c r="F808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s="33" customFormat="1">
      <c r="A809" s="1"/>
      <c r="B809" s="1"/>
      <c r="C809" s="1"/>
      <c r="D809"/>
      <c r="E809"/>
      <c r="F809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s="33" customFormat="1">
      <c r="A810"/>
      <c r="B810"/>
      <c r="C810"/>
      <c r="D810"/>
      <c r="E810"/>
      <c r="F810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s="33" customFormat="1">
      <c r="A811"/>
      <c r="B811"/>
      <c r="C811"/>
      <c r="D811"/>
      <c r="E811"/>
      <c r="F81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s="33" customFormat="1">
      <c r="A812" s="2"/>
      <c r="B812" s="2"/>
      <c r="C812" s="2"/>
      <c r="D812"/>
      <c r="E812"/>
      <c r="F81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s="33" customFormat="1">
      <c r="A813" s="1"/>
      <c r="B813" s="1"/>
      <c r="C813" s="1"/>
      <c r="D813"/>
      <c r="E813"/>
      <c r="F813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s="33" customFormat="1">
      <c r="A814" s="1"/>
      <c r="B814" s="1"/>
      <c r="C814" s="1"/>
      <c r="D814"/>
      <c r="E814"/>
      <c r="F814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s="33" customFormat="1">
      <c r="A815"/>
      <c r="B815"/>
      <c r="C815"/>
      <c r="D815"/>
      <c r="E815"/>
      <c r="F815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s="33" customFormat="1">
      <c r="A816" s="1"/>
      <c r="B816" s="1"/>
      <c r="C816" s="1"/>
      <c r="D816"/>
      <c r="E816"/>
      <c r="F816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s="33" customFormat="1">
      <c r="A817"/>
      <c r="B817"/>
      <c r="C817"/>
      <c r="D817"/>
      <c r="E817"/>
      <c r="F817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s="33" customFormat="1">
      <c r="A818"/>
      <c r="B818"/>
      <c r="C818"/>
      <c r="D818"/>
      <c r="E818"/>
      <c r="F818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s="33" customFormat="1">
      <c r="A819" s="2"/>
      <c r="B819" s="2"/>
      <c r="C819" s="2"/>
      <c r="D819"/>
      <c r="E819"/>
      <c r="F819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s="33" customFormat="1">
      <c r="A820" s="1"/>
      <c r="B820" s="1"/>
      <c r="C820" s="1"/>
      <c r="D820"/>
      <c r="E820"/>
      <c r="F820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s="33" customFormat="1">
      <c r="A821" s="1"/>
      <c r="B821" s="1"/>
      <c r="C821" s="1"/>
      <c r="D821"/>
      <c r="E821"/>
      <c r="F82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s="33" customFormat="1">
      <c r="A822"/>
      <c r="B822"/>
      <c r="C822"/>
      <c r="D822"/>
      <c r="E822"/>
      <c r="F822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s="33" customFormat="1">
      <c r="A823" s="1"/>
      <c r="B823" s="1"/>
      <c r="C823" s="1"/>
      <c r="D823"/>
      <c r="E823"/>
      <c r="F823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s="33" customFormat="1">
      <c r="A824"/>
      <c r="B824"/>
      <c r="C824"/>
      <c r="D824"/>
      <c r="E824"/>
      <c r="F824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s="33" customFormat="1">
      <c r="A825"/>
      <c r="B825"/>
      <c r="C825"/>
      <c r="D825"/>
      <c r="E825"/>
      <c r="F825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s="33" customFormat="1">
      <c r="A826" s="2"/>
      <c r="B826" s="2"/>
      <c r="C826" s="2"/>
      <c r="D826"/>
      <c r="E826"/>
      <c r="F826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s="33" customFormat="1">
      <c r="A827" s="1"/>
      <c r="B827" s="1"/>
      <c r="C827" s="1"/>
      <c r="D827"/>
      <c r="E827"/>
      <c r="F827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s="33" customFormat="1">
      <c r="A828" s="1"/>
      <c r="B828" s="1"/>
      <c r="C828" s="1"/>
      <c r="D828"/>
      <c r="E828"/>
      <c r="F828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s="33" customFormat="1">
      <c r="A829"/>
      <c r="B829"/>
      <c r="C829"/>
      <c r="D829"/>
      <c r="E829"/>
      <c r="F829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s="33" customFormat="1">
      <c r="A830" s="1"/>
      <c r="B830" s="1"/>
      <c r="C830" s="1"/>
      <c r="D830"/>
      <c r="E830"/>
      <c r="F830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s="33" customFormat="1">
      <c r="A831"/>
      <c r="B831"/>
      <c r="C831"/>
      <c r="D831"/>
      <c r="E831"/>
      <c r="F83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s="33" customFormat="1">
      <c r="A832"/>
      <c r="B832"/>
      <c r="C832"/>
      <c r="D832"/>
      <c r="E832"/>
      <c r="F832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s="33" customFormat="1">
      <c r="A833" s="2"/>
      <c r="B833" s="2"/>
      <c r="C833" s="2"/>
      <c r="D833"/>
      <c r="E833"/>
      <c r="F833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s="33" customFormat="1">
      <c r="A834" s="1"/>
      <c r="B834" s="1"/>
      <c r="C834" s="1"/>
      <c r="D834"/>
      <c r="E834"/>
      <c r="F834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s="33" customFormat="1">
      <c r="A835" s="1"/>
      <c r="B835" s="1"/>
      <c r="C835" s="1"/>
      <c r="D835"/>
      <c r="E835"/>
      <c r="F835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s="33" customFormat="1">
      <c r="A836"/>
      <c r="B836"/>
      <c r="C836"/>
      <c r="D836"/>
      <c r="E836"/>
      <c r="F836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s="33" customFormat="1">
      <c r="A837" s="1"/>
      <c r="B837" s="1"/>
      <c r="C837" s="1"/>
      <c r="D837"/>
      <c r="E837"/>
      <c r="F837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s="33" customFormat="1">
      <c r="A838"/>
      <c r="B838"/>
      <c r="C838"/>
      <c r="D838"/>
      <c r="E838"/>
      <c r="F838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s="33" customFormat="1">
      <c r="A839"/>
      <c r="B839"/>
      <c r="C839"/>
      <c r="D839"/>
      <c r="E839"/>
      <c r="F839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s="33" customFormat="1">
      <c r="A840" s="2"/>
      <c r="B840" s="2"/>
      <c r="C840" s="2"/>
      <c r="D840"/>
      <c r="E840"/>
      <c r="F840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s="33" customFormat="1">
      <c r="A841" s="1"/>
      <c r="B841" s="1"/>
      <c r="C841" s="1"/>
      <c r="D841"/>
      <c r="E841"/>
      <c r="F84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s="33" customFormat="1">
      <c r="A842" s="1"/>
      <c r="B842" s="1"/>
      <c r="C842" s="1"/>
      <c r="D842"/>
      <c r="E842"/>
      <c r="F842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s="33" customFormat="1">
      <c r="A843"/>
      <c r="B843"/>
      <c r="C843"/>
      <c r="D843"/>
      <c r="E843"/>
      <c r="F843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s="33" customFormat="1">
      <c r="A844" s="1"/>
      <c r="B844" s="1"/>
      <c r="C844" s="1"/>
      <c r="D844"/>
      <c r="E844"/>
      <c r="F844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s="33" customFormat="1">
      <c r="A845"/>
      <c r="B845"/>
      <c r="C845"/>
      <c r="D845"/>
      <c r="E845"/>
      <c r="F845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s="33" customFormat="1">
      <c r="A846"/>
      <c r="B846"/>
      <c r="C846"/>
      <c r="D846"/>
      <c r="E846"/>
      <c r="F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33" customFormat="1">
      <c r="A847" s="2"/>
      <c r="B847" s="2"/>
      <c r="C847" s="2"/>
      <c r="D847"/>
      <c r="E847"/>
      <c r="F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33" customFormat="1">
      <c r="A848" s="1"/>
      <c r="B848" s="1"/>
      <c r="C848" s="1"/>
      <c r="D848"/>
      <c r="E848"/>
      <c r="F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33" customFormat="1">
      <c r="A849" s="1"/>
      <c r="B849" s="1"/>
      <c r="C849" s="1"/>
      <c r="D849"/>
      <c r="E849"/>
      <c r="F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33" customFormat="1">
      <c r="A850"/>
      <c r="B850"/>
      <c r="C850"/>
      <c r="D850"/>
      <c r="E850"/>
      <c r="F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33" customFormat="1">
      <c r="A851" s="1"/>
      <c r="B851" s="1"/>
      <c r="C851" s="1"/>
      <c r="D851"/>
      <c r="E851"/>
      <c r="F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33" customFormat="1">
      <c r="A852"/>
      <c r="B852"/>
      <c r="C852"/>
      <c r="D852"/>
      <c r="E852"/>
      <c r="F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33" customFormat="1">
      <c r="A853"/>
      <c r="B853"/>
      <c r="C853"/>
      <c r="D853"/>
      <c r="E853"/>
      <c r="F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33" customFormat="1">
      <c r="A854" s="2"/>
      <c r="B854" s="2"/>
      <c r="C854" s="2"/>
      <c r="D854"/>
      <c r="E854"/>
      <c r="F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33" customFormat="1">
      <c r="A855" s="1"/>
      <c r="B855" s="1"/>
      <c r="C855" s="1"/>
      <c r="D855"/>
      <c r="E855"/>
      <c r="F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33" customFormat="1">
      <c r="A856" s="1"/>
      <c r="B856" s="1"/>
      <c r="C856" s="1"/>
      <c r="D856"/>
      <c r="E856"/>
      <c r="F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33" customFormat="1">
      <c r="A857"/>
      <c r="B857"/>
      <c r="C857"/>
      <c r="D857"/>
      <c r="E857"/>
      <c r="F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33" customFormat="1">
      <c r="A858" s="1"/>
      <c r="B858" s="1"/>
      <c r="C858" s="1"/>
      <c r="D858"/>
      <c r="E858"/>
      <c r="F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33" customFormat="1">
      <c r="A859"/>
      <c r="B859"/>
      <c r="C859"/>
      <c r="D859"/>
      <c r="E859"/>
      <c r="F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33" customFormat="1">
      <c r="A860"/>
      <c r="B860"/>
      <c r="C860"/>
      <c r="D860"/>
      <c r="E860"/>
      <c r="F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33" customFormat="1">
      <c r="A861" s="2"/>
      <c r="B861" s="2"/>
      <c r="C861" s="2"/>
      <c r="D861"/>
      <c r="E861"/>
      <c r="F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33" customFormat="1">
      <c r="A862" s="1"/>
      <c r="B862" s="1"/>
      <c r="C862" s="1"/>
      <c r="D862"/>
      <c r="E862"/>
      <c r="F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33" customFormat="1">
      <c r="A863" s="1"/>
      <c r="B863" s="1"/>
      <c r="C863" s="1"/>
      <c r="D863"/>
      <c r="E863"/>
      <c r="F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33" customFormat="1">
      <c r="A864"/>
      <c r="B864"/>
      <c r="C864"/>
      <c r="D864"/>
      <c r="E864"/>
      <c r="F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33" customFormat="1">
      <c r="A865" s="1"/>
      <c r="B865" s="1"/>
      <c r="C865" s="1"/>
      <c r="D865"/>
      <c r="E865"/>
      <c r="F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33" customFormat="1">
      <c r="A866"/>
      <c r="B866"/>
      <c r="C866"/>
      <c r="D866"/>
      <c r="E866"/>
      <c r="F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s="33" customFormat="1">
      <c r="A867"/>
      <c r="B867"/>
      <c r="C867"/>
      <c r="D867"/>
      <c r="E867"/>
      <c r="F867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s="33" customFormat="1">
      <c r="A868" s="2"/>
      <c r="B868" s="2"/>
      <c r="C868" s="2"/>
      <c r="D868"/>
      <c r="E868"/>
      <c r="F868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s="33" customFormat="1">
      <c r="A869" s="1"/>
      <c r="B869" s="1"/>
      <c r="C869" s="1"/>
      <c r="D869"/>
      <c r="E869"/>
      <c r="F869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s="33" customFormat="1">
      <c r="A870" s="1"/>
      <c r="B870" s="1"/>
      <c r="C870" s="1"/>
      <c r="D870"/>
      <c r="E870"/>
      <c r="F870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s="33" customFormat="1">
      <c r="A871"/>
      <c r="B871"/>
      <c r="C871"/>
      <c r="D871"/>
      <c r="E871"/>
      <c r="F87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s="33" customFormat="1">
      <c r="A872" s="1"/>
      <c r="B872" s="1"/>
      <c r="C872" s="1"/>
      <c r="D872"/>
      <c r="E872"/>
      <c r="F872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s="33" customFormat="1">
      <c r="A873"/>
      <c r="B873"/>
      <c r="C873"/>
      <c r="D873"/>
      <c r="E873"/>
      <c r="F873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s="33" customFormat="1">
      <c r="A874"/>
      <c r="B874"/>
      <c r="C874"/>
      <c r="D874"/>
      <c r="E874"/>
      <c r="F874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s="33" customFormat="1">
      <c r="A875" s="2"/>
      <c r="B875" s="2"/>
      <c r="C875" s="2"/>
      <c r="D875"/>
      <c r="E875"/>
      <c r="F875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s="33" customFormat="1">
      <c r="A876" s="1"/>
      <c r="B876" s="1"/>
      <c r="C876" s="1"/>
      <c r="D876"/>
      <c r="E876"/>
      <c r="F876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s="33" customFormat="1">
      <c r="A877" s="1"/>
      <c r="B877" s="1"/>
      <c r="C877" s="1"/>
      <c r="D877"/>
      <c r="E877"/>
      <c r="F877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s="33" customFormat="1">
      <c r="A878"/>
      <c r="B878"/>
      <c r="C878"/>
      <c r="D878"/>
      <c r="E878"/>
      <c r="F878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s="33" customFormat="1">
      <c r="A879" s="1"/>
      <c r="B879" s="1"/>
      <c r="C879" s="1"/>
      <c r="D879"/>
      <c r="E879"/>
      <c r="F879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s="33" customFormat="1">
      <c r="A880"/>
      <c r="B880"/>
      <c r="C880"/>
      <c r="D880"/>
      <c r="E880"/>
      <c r="F880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s="33" customFormat="1">
      <c r="A881"/>
      <c r="B881"/>
      <c r="C881"/>
      <c r="D881"/>
      <c r="E881"/>
      <c r="F88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s="33" customFormat="1">
      <c r="A882" s="2"/>
      <c r="B882" s="2"/>
      <c r="C882" s="2"/>
      <c r="D882"/>
      <c r="E882"/>
      <c r="F882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s="33" customFormat="1">
      <c r="A883" s="1"/>
      <c r="B883" s="1"/>
      <c r="C883" s="1"/>
      <c r="D883"/>
      <c r="E883"/>
      <c r="F883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s="33" customFormat="1">
      <c r="A884" s="1"/>
      <c r="B884" s="1"/>
      <c r="C884" s="1"/>
      <c r="D884"/>
      <c r="E884"/>
      <c r="F884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s="33" customFormat="1">
      <c r="A885"/>
      <c r="B885"/>
      <c r="C885"/>
      <c r="D885"/>
      <c r="E885"/>
      <c r="F885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s="33" customFormat="1">
      <c r="A886" s="1"/>
      <c r="B886" s="1"/>
      <c r="C886" s="1"/>
      <c r="D886"/>
      <c r="E886"/>
      <c r="F886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s="33" customFormat="1">
      <c r="A887"/>
      <c r="B887"/>
      <c r="C887"/>
      <c r="D887"/>
      <c r="E887"/>
      <c r="F887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s="33" customFormat="1">
      <c r="A888"/>
      <c r="B888"/>
      <c r="C888"/>
      <c r="D888"/>
      <c r="E888"/>
      <c r="F888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s="33" customFormat="1">
      <c r="A889" s="2"/>
      <c r="B889" s="2"/>
      <c r="C889" s="2"/>
      <c r="D889"/>
      <c r="E889"/>
      <c r="F889"/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1:20" s="33" customFormat="1">
      <c r="A890" s="1"/>
      <c r="B890" s="1"/>
      <c r="C890" s="1"/>
      <c r="D890"/>
      <c r="E890"/>
      <c r="F890"/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1:20" s="33" customFormat="1">
      <c r="A891" s="1"/>
      <c r="B891" s="1"/>
      <c r="C891" s="1"/>
      <c r="D891"/>
      <c r="E891"/>
      <c r="F891"/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1:20" s="33" customFormat="1">
      <c r="A892"/>
      <c r="B892"/>
      <c r="C892"/>
      <c r="D892"/>
      <c r="E892"/>
      <c r="F892"/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1:20" s="33" customFormat="1">
      <c r="A893" s="1"/>
      <c r="B893" s="1"/>
      <c r="C893" s="1"/>
      <c r="D893"/>
      <c r="E893"/>
      <c r="F893"/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1:20" s="33" customFormat="1">
      <c r="A894"/>
      <c r="B894"/>
      <c r="C894"/>
      <c r="D894"/>
      <c r="E894"/>
      <c r="F894"/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1:20" s="33" customFormat="1">
      <c r="A895"/>
      <c r="B895"/>
      <c r="C895"/>
      <c r="D895"/>
      <c r="E895"/>
      <c r="F895"/>
      <c r="H895"/>
      <c r="I895"/>
      <c r="J895"/>
      <c r="K895"/>
      <c r="L895"/>
      <c r="M895"/>
      <c r="N895"/>
      <c r="O895"/>
      <c r="P895"/>
      <c r="Q895"/>
      <c r="R895"/>
      <c r="S895"/>
      <c r="T895"/>
    </row>
    <row r="896" spans="1:20" s="33" customFormat="1">
      <c r="A896" s="2"/>
      <c r="B896" s="2"/>
      <c r="C896" s="2"/>
      <c r="D896"/>
      <c r="E896"/>
      <c r="F896"/>
      <c r="H896"/>
      <c r="I896"/>
      <c r="J896"/>
      <c r="K896"/>
      <c r="L896"/>
      <c r="M896"/>
      <c r="N896"/>
      <c r="O896"/>
      <c r="P896"/>
      <c r="Q896"/>
      <c r="R896"/>
      <c r="S896"/>
      <c r="T896"/>
    </row>
  </sheetData>
  <mergeCells count="71">
    <mergeCell ref="A1:D1"/>
    <mergeCell ref="E1:I1"/>
    <mergeCell ref="A5:I5"/>
    <mergeCell ref="E3:I3"/>
    <mergeCell ref="E2:I2"/>
    <mergeCell ref="E4:I4"/>
    <mergeCell ref="D16:E16"/>
    <mergeCell ref="O5:P5"/>
    <mergeCell ref="Q5:S5"/>
    <mergeCell ref="D8:E8"/>
    <mergeCell ref="O8:P8"/>
    <mergeCell ref="D9:E9"/>
    <mergeCell ref="O12:P12"/>
    <mergeCell ref="D13:E13"/>
    <mergeCell ref="O13:P13"/>
    <mergeCell ref="D14:E14"/>
    <mergeCell ref="O14:P14"/>
    <mergeCell ref="D15:E15"/>
    <mergeCell ref="A7:I7"/>
    <mergeCell ref="A6:I6"/>
    <mergeCell ref="D30:E30"/>
    <mergeCell ref="D17:E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9:E19"/>
    <mergeCell ref="A18:H18"/>
    <mergeCell ref="D33:E33"/>
    <mergeCell ref="D34:E34"/>
    <mergeCell ref="D35:E35"/>
    <mergeCell ref="D36:E36"/>
    <mergeCell ref="A31:H31"/>
    <mergeCell ref="D32:E32"/>
    <mergeCell ref="D37:E37"/>
    <mergeCell ref="A41:H41"/>
    <mergeCell ref="D47:E47"/>
    <mergeCell ref="D48:E48"/>
    <mergeCell ref="D49:E49"/>
    <mergeCell ref="D38:E38"/>
    <mergeCell ref="D40:E40"/>
    <mergeCell ref="D39:E39"/>
    <mergeCell ref="D42:E42"/>
    <mergeCell ref="D43:E43"/>
    <mergeCell ref="D44:E44"/>
    <mergeCell ref="D45:E45"/>
    <mergeCell ref="A69:I69"/>
    <mergeCell ref="G61:H61"/>
    <mergeCell ref="G59:I59"/>
    <mergeCell ref="G60:H60"/>
    <mergeCell ref="A60:E60"/>
    <mergeCell ref="A61:D61"/>
    <mergeCell ref="D57:E57"/>
    <mergeCell ref="A58:H58"/>
    <mergeCell ref="A65:I65"/>
    <mergeCell ref="A68:I68"/>
    <mergeCell ref="A67:I67"/>
    <mergeCell ref="A51:H51"/>
    <mergeCell ref="A46:H46"/>
    <mergeCell ref="D53:E53"/>
    <mergeCell ref="D56:E56"/>
    <mergeCell ref="A55:H55"/>
    <mergeCell ref="D52:E52"/>
    <mergeCell ref="D54:E54"/>
    <mergeCell ref="D50:E50"/>
  </mergeCells>
  <phoneticPr fontId="12" type="noConversion"/>
  <printOptions horizontalCentered="1"/>
  <pageMargins left="0.23622047244094491" right="0.31496062992125984" top="0.35433070866141736" bottom="0.31496062992125984" header="0.31496062992125984" footer="0.23622047244094491"/>
  <pageSetup paperSize="9"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4A8A-A79F-47D9-AF63-397C235FB511}">
  <sheetPr>
    <pageSetUpPr fitToPage="1"/>
  </sheetPr>
  <dimension ref="A1:J21"/>
  <sheetViews>
    <sheetView showGridLines="0" topLeftCell="A4" zoomScale="90" zoomScaleNormal="90" workbookViewId="0">
      <selection activeCell="J21" sqref="A1:J21"/>
    </sheetView>
  </sheetViews>
  <sheetFormatPr baseColWidth="10" defaultColWidth="8.83203125" defaultRowHeight="15"/>
  <cols>
    <col min="1" max="1" width="23.1640625" customWidth="1"/>
    <col min="2" max="2" width="11" customWidth="1"/>
    <col min="3" max="3" width="22.6640625" customWidth="1"/>
    <col min="4" max="4" width="20.5" customWidth="1"/>
    <col min="8" max="8" width="13.33203125" customWidth="1"/>
    <col min="10" max="10" width="11.83203125" customWidth="1"/>
  </cols>
  <sheetData>
    <row r="1" spans="1:10">
      <c r="A1" s="331"/>
      <c r="B1" s="332"/>
      <c r="C1" s="332"/>
      <c r="D1" s="332"/>
      <c r="E1" s="332"/>
      <c r="F1" s="332"/>
      <c r="G1" s="332"/>
      <c r="H1" s="332"/>
      <c r="I1" s="332"/>
      <c r="J1" s="333"/>
    </row>
    <row r="2" spans="1:10">
      <c r="A2" s="334"/>
      <c r="B2" s="335"/>
      <c r="C2" s="335"/>
      <c r="D2" s="335"/>
      <c r="E2" s="335"/>
      <c r="F2" s="335"/>
      <c r="G2" s="335"/>
      <c r="H2" s="335"/>
      <c r="I2" s="335"/>
      <c r="J2" s="336"/>
    </row>
    <row r="3" spans="1:10">
      <c r="A3" s="104"/>
      <c r="B3" s="105"/>
      <c r="C3" s="105"/>
      <c r="D3" s="105"/>
      <c r="E3" s="105"/>
      <c r="F3" s="105"/>
      <c r="G3" s="105"/>
      <c r="H3" s="105"/>
      <c r="I3" s="105"/>
      <c r="J3" s="106"/>
    </row>
    <row r="4" spans="1:10">
      <c r="A4" s="104"/>
      <c r="B4" s="105"/>
      <c r="C4" s="105"/>
      <c r="D4" s="105"/>
      <c r="E4" s="105"/>
      <c r="F4" s="105"/>
      <c r="G4" s="105"/>
      <c r="H4" s="105"/>
      <c r="I4" s="105"/>
      <c r="J4" s="106"/>
    </row>
    <row r="5" spans="1:10">
      <c r="A5" s="337"/>
      <c r="B5" s="338"/>
      <c r="C5" s="338"/>
      <c r="D5" s="338"/>
      <c r="E5" s="338"/>
      <c r="F5" s="338"/>
      <c r="G5" s="338"/>
      <c r="H5" s="338"/>
      <c r="I5" s="338"/>
      <c r="J5" s="339"/>
    </row>
    <row r="6" spans="1:10" ht="16">
      <c r="A6" s="340" t="s">
        <v>255</v>
      </c>
      <c r="B6" s="341"/>
      <c r="C6" s="341"/>
      <c r="D6" s="341"/>
      <c r="E6" s="341"/>
      <c r="F6" s="341"/>
      <c r="G6" s="341"/>
      <c r="H6" s="341"/>
      <c r="I6" s="341"/>
      <c r="J6" s="342"/>
    </row>
    <row r="7" spans="1:10" ht="23.5" customHeight="1">
      <c r="A7" s="343" t="s">
        <v>314</v>
      </c>
      <c r="B7" s="344"/>
      <c r="C7" s="344"/>
      <c r="D7" s="344"/>
      <c r="E7" s="344"/>
      <c r="F7" s="344"/>
      <c r="G7" s="344"/>
      <c r="H7" s="344"/>
      <c r="I7" s="344"/>
      <c r="J7" s="345"/>
    </row>
    <row r="8" spans="1:10">
      <c r="A8" s="346"/>
      <c r="B8" s="347"/>
      <c r="C8" s="347"/>
      <c r="D8" s="347"/>
      <c r="E8" s="347"/>
      <c r="F8" s="347"/>
      <c r="G8" s="347"/>
      <c r="H8" s="347"/>
      <c r="I8" s="347"/>
      <c r="J8" s="348"/>
    </row>
    <row r="9" spans="1:10">
      <c r="A9" s="124" t="s">
        <v>256</v>
      </c>
      <c r="B9" s="125" t="s">
        <v>257</v>
      </c>
      <c r="C9" s="126" t="s">
        <v>258</v>
      </c>
      <c r="D9" s="126" t="s">
        <v>259</v>
      </c>
      <c r="E9" s="126" t="s">
        <v>260</v>
      </c>
      <c r="F9" s="126" t="s">
        <v>261</v>
      </c>
      <c r="G9" s="126" t="s">
        <v>262</v>
      </c>
      <c r="H9" s="126" t="s">
        <v>263</v>
      </c>
      <c r="I9" s="126" t="s">
        <v>264</v>
      </c>
      <c r="J9" s="127" t="s">
        <v>265</v>
      </c>
    </row>
    <row r="10" spans="1:10" ht="16" thickBot="1">
      <c r="A10" s="128">
        <v>3.67</v>
      </c>
      <c r="B10" s="129">
        <v>7.3</v>
      </c>
      <c r="C10" s="129">
        <v>0.86</v>
      </c>
      <c r="D10" s="129">
        <v>0.11</v>
      </c>
      <c r="E10" s="129">
        <v>0.56000000000000005</v>
      </c>
      <c r="F10" s="129">
        <v>2.5</v>
      </c>
      <c r="G10" s="129">
        <v>0.65</v>
      </c>
      <c r="H10" s="129">
        <v>3</v>
      </c>
      <c r="I10" s="129">
        <v>4.5</v>
      </c>
      <c r="J10" s="130">
        <v>26.37</v>
      </c>
    </row>
    <row r="11" spans="1:10">
      <c r="A11" s="107"/>
      <c r="J11" s="108"/>
    </row>
    <row r="12" spans="1:10">
      <c r="A12" s="109"/>
      <c r="B12" s="26"/>
      <c r="C12" s="26"/>
      <c r="E12" s="110"/>
      <c r="F12" s="122"/>
      <c r="G12" s="47"/>
      <c r="H12" s="123"/>
      <c r="J12" s="108"/>
    </row>
    <row r="13" spans="1:10">
      <c r="A13" s="109"/>
      <c r="B13" s="26"/>
      <c r="C13" s="110"/>
      <c r="E13" s="110"/>
      <c r="F13" s="110"/>
      <c r="G13" s="47"/>
      <c r="H13" s="123"/>
      <c r="J13" s="108"/>
    </row>
    <row r="14" spans="1:10">
      <c r="A14" s="109"/>
      <c r="B14" s="26"/>
      <c r="C14" s="103"/>
      <c r="E14" s="110"/>
      <c r="F14" s="103"/>
      <c r="G14" s="47"/>
      <c r="H14" s="123"/>
      <c r="J14" s="108"/>
    </row>
    <row r="15" spans="1:10">
      <c r="A15" s="325" t="s">
        <v>266</v>
      </c>
      <c r="B15" s="326"/>
      <c r="C15" s="326"/>
      <c r="D15" s="326"/>
      <c r="E15" s="326"/>
      <c r="F15" s="326"/>
      <c r="G15" s="326"/>
      <c r="H15" s="326"/>
      <c r="I15" s="326"/>
      <c r="J15" s="327"/>
    </row>
    <row r="16" spans="1:10">
      <c r="A16" s="328" t="s">
        <v>83</v>
      </c>
      <c r="B16" s="329"/>
      <c r="C16" s="329"/>
      <c r="D16" s="329"/>
      <c r="E16" s="329"/>
      <c r="F16" s="329"/>
      <c r="G16" s="329"/>
      <c r="H16" s="329"/>
      <c r="I16" s="329"/>
      <c r="J16" s="330"/>
    </row>
    <row r="17" spans="1:10">
      <c r="A17" s="328" t="s">
        <v>84</v>
      </c>
      <c r="B17" s="329"/>
      <c r="C17" s="329"/>
      <c r="D17" s="329"/>
      <c r="E17" s="329"/>
      <c r="F17" s="329"/>
      <c r="G17" s="329"/>
      <c r="H17" s="329"/>
      <c r="I17" s="329"/>
      <c r="J17" s="330"/>
    </row>
    <row r="18" spans="1:10">
      <c r="A18" s="109"/>
      <c r="B18" s="112"/>
      <c r="C18" s="110"/>
      <c r="E18" s="110"/>
      <c r="F18" s="110"/>
      <c r="G18" s="112"/>
      <c r="H18" s="113"/>
      <c r="J18" s="108"/>
    </row>
    <row r="19" spans="1:10">
      <c r="A19" s="114"/>
      <c r="B19" s="112"/>
      <c r="C19" s="111"/>
      <c r="E19" s="110"/>
      <c r="F19" s="111"/>
      <c r="G19" s="112"/>
      <c r="H19" s="113"/>
      <c r="J19" s="108"/>
    </row>
    <row r="20" spans="1:10">
      <c r="A20" s="115"/>
      <c r="B20" s="111"/>
      <c r="C20" s="111"/>
      <c r="E20" s="110"/>
      <c r="F20" s="111"/>
      <c r="G20" s="111"/>
      <c r="H20" s="113"/>
      <c r="J20" s="108"/>
    </row>
    <row r="21" spans="1:10" ht="16" thickBot="1">
      <c r="A21" s="116"/>
      <c r="B21" s="117"/>
      <c r="C21" s="117"/>
      <c r="D21" s="118"/>
      <c r="E21" s="117"/>
      <c r="F21" s="117"/>
      <c r="G21" s="117"/>
      <c r="H21" s="119"/>
      <c r="I21" s="120"/>
      <c r="J21" s="121"/>
    </row>
  </sheetData>
  <mergeCells count="9">
    <mergeCell ref="A15:J15"/>
    <mergeCell ref="A16:J16"/>
    <mergeCell ref="A17:J17"/>
    <mergeCell ref="A1:J1"/>
    <mergeCell ref="A2:J2"/>
    <mergeCell ref="A5:J5"/>
    <mergeCell ref="A6:J6"/>
    <mergeCell ref="A7:J7"/>
    <mergeCell ref="A8:J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7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showGridLines="0" zoomScale="90" zoomScaleNormal="90" workbookViewId="0">
      <selection activeCell="E20" sqref="E20:F20"/>
    </sheetView>
  </sheetViews>
  <sheetFormatPr baseColWidth="10" defaultColWidth="8.83203125" defaultRowHeight="15"/>
  <cols>
    <col min="2" max="2" width="53.6640625" customWidth="1"/>
    <col min="3" max="3" width="15.83203125" bestFit="1" customWidth="1"/>
    <col min="4" max="4" width="13.6640625" bestFit="1" customWidth="1"/>
    <col min="5" max="5" width="13.6640625" customWidth="1"/>
    <col min="6" max="6" width="15.5" bestFit="1" customWidth="1"/>
    <col min="7" max="7" width="13.1640625" bestFit="1" customWidth="1"/>
  </cols>
  <sheetData>
    <row r="1" spans="1:6">
      <c r="A1" s="355"/>
      <c r="B1" s="356"/>
      <c r="C1" s="356"/>
      <c r="D1" s="356"/>
      <c r="E1" s="356"/>
      <c r="F1" s="357"/>
    </row>
    <row r="2" spans="1:6">
      <c r="A2" s="358"/>
      <c r="B2" s="359"/>
      <c r="C2" s="359"/>
      <c r="D2" s="359"/>
      <c r="E2" s="359"/>
      <c r="F2" s="360"/>
    </row>
    <row r="3" spans="1:6">
      <c r="A3" s="358"/>
      <c r="B3" s="359"/>
      <c r="C3" s="359"/>
      <c r="D3" s="359"/>
      <c r="E3" s="359"/>
      <c r="F3" s="360"/>
    </row>
    <row r="4" spans="1:6">
      <c r="A4" s="358"/>
      <c r="B4" s="359"/>
      <c r="C4" s="359"/>
      <c r="D4" s="359"/>
      <c r="E4" s="359"/>
      <c r="F4" s="360"/>
    </row>
    <row r="5" spans="1:6">
      <c r="A5" s="361"/>
      <c r="B5" s="362"/>
      <c r="C5" s="362"/>
      <c r="D5" s="362"/>
      <c r="E5" s="362"/>
      <c r="F5" s="363"/>
    </row>
    <row r="6" spans="1:6" ht="16">
      <c r="A6" s="351" t="s">
        <v>233</v>
      </c>
      <c r="B6" s="352"/>
      <c r="C6" s="352"/>
      <c r="D6" s="352"/>
      <c r="E6" s="352"/>
      <c r="F6" s="353"/>
    </row>
    <row r="7" spans="1:6" ht="23.5" customHeight="1">
      <c r="A7" s="310" t="s">
        <v>307</v>
      </c>
      <c r="B7" s="354"/>
      <c r="C7" s="354"/>
      <c r="D7" s="354"/>
      <c r="E7" s="354"/>
      <c r="F7" s="311"/>
    </row>
    <row r="8" spans="1:6">
      <c r="A8" s="349" t="s">
        <v>290</v>
      </c>
      <c r="B8" s="373" t="s">
        <v>132</v>
      </c>
      <c r="C8" s="371" t="s">
        <v>285</v>
      </c>
      <c r="D8" s="368" t="s">
        <v>134</v>
      </c>
      <c r="E8" s="369"/>
      <c r="F8" s="370"/>
    </row>
    <row r="9" spans="1:6">
      <c r="A9" s="350"/>
      <c r="B9" s="374"/>
      <c r="C9" s="372"/>
      <c r="D9" s="61" t="s">
        <v>105</v>
      </c>
      <c r="E9" s="61" t="s">
        <v>148</v>
      </c>
      <c r="F9" s="62" t="s">
        <v>106</v>
      </c>
    </row>
    <row r="10" spans="1:6">
      <c r="A10" s="23">
        <v>30011</v>
      </c>
      <c r="B10" s="78" t="s">
        <v>200</v>
      </c>
      <c r="C10" s="65">
        <v>6.38</v>
      </c>
      <c r="D10" s="64">
        <f>2</f>
        <v>2</v>
      </c>
      <c r="E10" s="79">
        <v>300</v>
      </c>
      <c r="F10" s="65">
        <f>C10*D10*E10</f>
        <v>3828</v>
      </c>
    </row>
    <row r="11" spans="1:6">
      <c r="A11" s="23">
        <v>30015</v>
      </c>
      <c r="B11" s="78" t="s">
        <v>135</v>
      </c>
      <c r="C11" s="65">
        <v>3.19</v>
      </c>
      <c r="D11" s="64">
        <v>1</v>
      </c>
      <c r="E11" s="79">
        <v>300</v>
      </c>
      <c r="F11" s="65">
        <f t="shared" ref="F11:F17" si="0">C11*D11*E11</f>
        <v>957</v>
      </c>
    </row>
    <row r="12" spans="1:6">
      <c r="A12" s="23">
        <v>30012</v>
      </c>
      <c r="B12" s="78" t="s">
        <v>136</v>
      </c>
      <c r="C12" s="65">
        <v>3.19</v>
      </c>
      <c r="D12" s="64">
        <v>1</v>
      </c>
      <c r="E12" s="79">
        <v>300</v>
      </c>
      <c r="F12" s="65">
        <f t="shared" si="0"/>
        <v>957</v>
      </c>
    </row>
    <row r="13" spans="1:6">
      <c r="A13" s="23">
        <v>30023</v>
      </c>
      <c r="B13" s="78" t="s">
        <v>137</v>
      </c>
      <c r="C13" s="65">
        <v>3.19</v>
      </c>
      <c r="D13" s="64">
        <v>1</v>
      </c>
      <c r="E13" s="79">
        <v>300</v>
      </c>
      <c r="F13" s="65">
        <f t="shared" si="0"/>
        <v>957</v>
      </c>
    </row>
    <row r="14" spans="1:6">
      <c r="A14" s="23">
        <v>30010</v>
      </c>
      <c r="B14" s="80" t="s">
        <v>138</v>
      </c>
      <c r="C14" s="65">
        <v>3.19</v>
      </c>
      <c r="D14" s="64">
        <v>1</v>
      </c>
      <c r="E14" s="79">
        <v>300</v>
      </c>
      <c r="F14" s="65">
        <f t="shared" si="0"/>
        <v>957</v>
      </c>
    </row>
    <row r="15" spans="1:6">
      <c r="A15" s="23">
        <v>30046</v>
      </c>
      <c r="B15" s="81" t="s">
        <v>139</v>
      </c>
      <c r="C15" s="63">
        <v>6.38</v>
      </c>
      <c r="D15" s="64">
        <v>2</v>
      </c>
      <c r="E15" s="79">
        <v>300</v>
      </c>
      <c r="F15" s="65">
        <f t="shared" si="0"/>
        <v>3828</v>
      </c>
    </row>
    <row r="16" spans="1:6">
      <c r="A16" s="23">
        <v>30009</v>
      </c>
      <c r="B16" s="80" t="s">
        <v>140</v>
      </c>
      <c r="C16" s="65">
        <v>3.19</v>
      </c>
      <c r="D16" s="64">
        <f>4</f>
        <v>4</v>
      </c>
      <c r="E16" s="79">
        <v>300</v>
      </c>
      <c r="F16" s="65">
        <f t="shared" si="0"/>
        <v>3828</v>
      </c>
    </row>
    <row r="17" spans="1:6">
      <c r="A17" s="23">
        <v>30005</v>
      </c>
      <c r="B17" s="81" t="s">
        <v>141</v>
      </c>
      <c r="C17" s="63">
        <v>3.19</v>
      </c>
      <c r="D17" s="64">
        <v>2</v>
      </c>
      <c r="E17" s="79">
        <v>300</v>
      </c>
      <c r="F17" s="65">
        <f t="shared" si="0"/>
        <v>1914</v>
      </c>
    </row>
    <row r="18" spans="1:6" ht="26">
      <c r="A18" s="23">
        <v>30008</v>
      </c>
      <c r="B18" s="82" t="s">
        <v>209</v>
      </c>
      <c r="C18" s="63">
        <v>3.19</v>
      </c>
      <c r="D18" s="64">
        <f>1</f>
        <v>1</v>
      </c>
      <c r="E18" s="79">
        <v>300</v>
      </c>
      <c r="F18" s="65">
        <f t="shared" ref="F18:F19" si="1">C18*D18*E18</f>
        <v>957</v>
      </c>
    </row>
    <row r="19" spans="1:6">
      <c r="A19" s="23">
        <v>30059</v>
      </c>
      <c r="B19" s="81" t="s">
        <v>210</v>
      </c>
      <c r="C19" s="63">
        <v>3.19</v>
      </c>
      <c r="D19" s="64">
        <f>1</f>
        <v>1</v>
      </c>
      <c r="E19" s="79">
        <v>300</v>
      </c>
      <c r="F19" s="65">
        <f t="shared" si="1"/>
        <v>957</v>
      </c>
    </row>
    <row r="20" spans="1:6">
      <c r="A20" s="378"/>
      <c r="B20" s="379"/>
      <c r="C20" s="380"/>
      <c r="D20" s="83" t="s">
        <v>230</v>
      </c>
      <c r="E20" s="375">
        <f>SUM(F10:F19)</f>
        <v>19140</v>
      </c>
      <c r="F20" s="376"/>
    </row>
    <row r="21" spans="1:6">
      <c r="A21" s="378"/>
      <c r="B21" s="379"/>
      <c r="C21" s="379"/>
      <c r="D21" s="379"/>
      <c r="E21" s="379"/>
      <c r="F21" s="380"/>
    </row>
    <row r="22" spans="1:6" ht="27.5" customHeight="1">
      <c r="A22" s="147" t="s">
        <v>290</v>
      </c>
      <c r="B22" s="85" t="s">
        <v>142</v>
      </c>
      <c r="C22" s="86" t="s">
        <v>133</v>
      </c>
      <c r="D22" s="86" t="s">
        <v>105</v>
      </c>
      <c r="E22" s="86" t="s">
        <v>148</v>
      </c>
      <c r="F22" s="86" t="s">
        <v>106</v>
      </c>
    </row>
    <row r="23" spans="1:6">
      <c r="A23" s="23">
        <v>30037</v>
      </c>
      <c r="B23" s="78" t="s">
        <v>143</v>
      </c>
      <c r="C23" s="65">
        <v>4.93</v>
      </c>
      <c r="D23" s="67">
        <f>10</f>
        <v>10</v>
      </c>
      <c r="E23" s="79">
        <v>300</v>
      </c>
      <c r="F23" s="65">
        <f>C23*D23*E23</f>
        <v>14790</v>
      </c>
    </row>
    <row r="24" spans="1:6">
      <c r="A24" s="23">
        <v>30035</v>
      </c>
      <c r="B24" s="78" t="s">
        <v>144</v>
      </c>
      <c r="C24" s="65">
        <v>4.13</v>
      </c>
      <c r="D24" s="64">
        <v>1</v>
      </c>
      <c r="E24" s="79">
        <v>300</v>
      </c>
      <c r="F24" s="65">
        <f t="shared" ref="F24:F26" si="2">C24*D24*E24</f>
        <v>1239</v>
      </c>
    </row>
    <row r="25" spans="1:6">
      <c r="A25" s="23">
        <v>30021</v>
      </c>
      <c r="B25" s="78" t="s">
        <v>291</v>
      </c>
      <c r="C25" s="65">
        <v>3.93</v>
      </c>
      <c r="D25" s="64">
        <v>1</v>
      </c>
      <c r="E25" s="79">
        <v>300</v>
      </c>
      <c r="F25" s="65">
        <f t="shared" si="2"/>
        <v>1179</v>
      </c>
    </row>
    <row r="26" spans="1:6">
      <c r="A26" s="23">
        <v>30040</v>
      </c>
      <c r="B26" s="80" t="s">
        <v>201</v>
      </c>
      <c r="C26" s="63">
        <v>4.95</v>
      </c>
      <c r="D26" s="187">
        <v>2</v>
      </c>
      <c r="E26" s="188">
        <v>300</v>
      </c>
      <c r="F26" s="63">
        <f t="shared" si="2"/>
        <v>2970</v>
      </c>
    </row>
    <row r="27" spans="1:6">
      <c r="B27" s="87"/>
      <c r="C27" s="88"/>
      <c r="D27" s="89" t="s">
        <v>230</v>
      </c>
      <c r="E27" s="377">
        <f xml:space="preserve"> (F23+F24+F26+F25)</f>
        <v>20178</v>
      </c>
      <c r="F27" s="376"/>
    </row>
    <row r="28" spans="1:6">
      <c r="B28" s="365"/>
      <c r="C28" s="365"/>
      <c r="D28" s="365"/>
      <c r="E28" s="365"/>
      <c r="F28" s="366"/>
    </row>
    <row r="29" spans="1:6">
      <c r="B29" s="87"/>
      <c r="C29" s="90"/>
      <c r="D29" s="91" t="s">
        <v>131</v>
      </c>
      <c r="E29" s="92"/>
      <c r="F29" s="84">
        <f xml:space="preserve"> (2*(E20+E27))</f>
        <v>78636</v>
      </c>
    </row>
    <row r="30" spans="1:6">
      <c r="B30" s="87"/>
      <c r="C30" s="90"/>
      <c r="D30" s="91" t="s">
        <v>315</v>
      </c>
      <c r="E30" s="92"/>
      <c r="F30" s="62">
        <f xml:space="preserve"> ((F29*26.37)/100)</f>
        <v>20736.313200000001</v>
      </c>
    </row>
    <row r="31" spans="1:6">
      <c r="B31" s="87"/>
      <c r="C31" s="90"/>
      <c r="D31" s="91" t="s">
        <v>117</v>
      </c>
      <c r="E31" s="93"/>
      <c r="F31" s="62">
        <f xml:space="preserve"> (F29+F30)</f>
        <v>99372.313200000004</v>
      </c>
    </row>
    <row r="32" spans="1:6">
      <c r="B32" s="41"/>
      <c r="C32" s="39"/>
      <c r="D32" s="41"/>
      <c r="E32" s="41"/>
      <c r="F32" s="39"/>
    </row>
    <row r="33" spans="2:6" ht="16">
      <c r="B33" s="367"/>
      <c r="C33" s="367"/>
      <c r="D33" s="367"/>
      <c r="E33" s="367"/>
      <c r="F33" s="367"/>
    </row>
    <row r="34" spans="2:6" ht="78.75" customHeight="1">
      <c r="C34" s="40"/>
      <c r="F34" s="40"/>
    </row>
    <row r="35" spans="2:6" ht="16">
      <c r="B35" s="225" t="s">
        <v>85</v>
      </c>
      <c r="C35" s="225"/>
      <c r="D35" s="225"/>
      <c r="E35" s="225"/>
      <c r="F35" s="225"/>
    </row>
    <row r="36" spans="2:6">
      <c r="B36" s="364" t="s">
        <v>83</v>
      </c>
      <c r="C36" s="364"/>
      <c r="D36" s="364"/>
      <c r="E36" s="364"/>
      <c r="F36" s="364"/>
    </row>
    <row r="37" spans="2:6">
      <c r="B37" s="364" t="s">
        <v>84</v>
      </c>
      <c r="C37" s="364"/>
      <c r="D37" s="364"/>
      <c r="E37" s="364"/>
      <c r="F37" s="364"/>
    </row>
    <row r="38" spans="2:6">
      <c r="C38" s="40"/>
      <c r="F38" s="40"/>
    </row>
    <row r="39" spans="2:6">
      <c r="C39" s="40"/>
      <c r="F39" s="40"/>
    </row>
  </sheetData>
  <mergeCells count="16">
    <mergeCell ref="A8:A9"/>
    <mergeCell ref="A6:F6"/>
    <mergeCell ref="A7:F7"/>
    <mergeCell ref="A1:F5"/>
    <mergeCell ref="B37:F37"/>
    <mergeCell ref="B28:F28"/>
    <mergeCell ref="B33:F33"/>
    <mergeCell ref="B35:F35"/>
    <mergeCell ref="B36:F36"/>
    <mergeCell ref="D8:F8"/>
    <mergeCell ref="C8:C9"/>
    <mergeCell ref="B8:B9"/>
    <mergeCell ref="E20:F20"/>
    <mergeCell ref="E27:F27"/>
    <mergeCell ref="A20:C20"/>
    <mergeCell ref="A21:F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fitToHeight="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showGridLines="0" topLeftCell="A8" zoomScale="90" zoomScaleNormal="90" workbookViewId="0">
      <selection activeCell="H20" sqref="H20"/>
    </sheetView>
  </sheetViews>
  <sheetFormatPr baseColWidth="10" defaultColWidth="8.83203125" defaultRowHeight="15"/>
  <cols>
    <col min="1" max="1" width="35.33203125" customWidth="1"/>
    <col min="2" max="2" width="9.33203125" bestFit="1" customWidth="1"/>
    <col min="3" max="3" width="16.5" bestFit="1" customWidth="1"/>
    <col min="4" max="4" width="13.5" bestFit="1" customWidth="1"/>
    <col min="5" max="5" width="13.1640625" bestFit="1" customWidth="1"/>
  </cols>
  <sheetData>
    <row r="1" spans="1:5">
      <c r="A1" s="179"/>
      <c r="B1" s="180"/>
      <c r="C1" s="180"/>
      <c r="D1" s="180"/>
      <c r="E1" s="181"/>
    </row>
    <row r="2" spans="1:5">
      <c r="A2" s="182"/>
      <c r="E2" s="183"/>
    </row>
    <row r="3" spans="1:5">
      <c r="A3" s="182"/>
      <c r="E3" s="183"/>
    </row>
    <row r="4" spans="1:5">
      <c r="A4" s="182"/>
      <c r="E4" s="183"/>
    </row>
    <row r="5" spans="1:5">
      <c r="A5" s="184"/>
      <c r="B5" s="185"/>
      <c r="C5" s="185"/>
      <c r="D5" s="185"/>
      <c r="E5" s="186"/>
    </row>
    <row r="6" spans="1:5" ht="16">
      <c r="A6" s="386" t="s">
        <v>231</v>
      </c>
      <c r="B6" s="387"/>
      <c r="C6" s="387"/>
      <c r="D6" s="387"/>
      <c r="E6" s="388"/>
    </row>
    <row r="7" spans="1:5" ht="23.5" customHeight="1">
      <c r="A7" s="395" t="s">
        <v>307</v>
      </c>
      <c r="B7" s="396"/>
      <c r="C7" s="396"/>
      <c r="D7" s="396"/>
      <c r="E7" s="397"/>
    </row>
    <row r="8" spans="1:5" ht="23.5" customHeight="1">
      <c r="A8" s="395" t="s">
        <v>292</v>
      </c>
      <c r="B8" s="396"/>
      <c r="C8" s="396"/>
      <c r="D8" s="396"/>
      <c r="E8" s="397"/>
    </row>
    <row r="9" spans="1:5">
      <c r="A9" s="389" t="s">
        <v>103</v>
      </c>
      <c r="B9" s="389" t="s">
        <v>22</v>
      </c>
      <c r="C9" s="391" t="s">
        <v>104</v>
      </c>
      <c r="D9" s="393"/>
      <c r="E9" s="394"/>
    </row>
    <row r="10" spans="1:5">
      <c r="A10" s="390"/>
      <c r="B10" s="390"/>
      <c r="C10" s="392"/>
      <c r="D10" s="61" t="s">
        <v>105</v>
      </c>
      <c r="E10" s="62" t="s">
        <v>106</v>
      </c>
    </row>
    <row r="11" spans="1:5">
      <c r="A11" s="381" t="s">
        <v>107</v>
      </c>
      <c r="B11" s="382"/>
      <c r="C11" s="382"/>
      <c r="D11" s="382"/>
      <c r="E11" s="385"/>
    </row>
    <row r="12" spans="1:5">
      <c r="A12" s="78" t="s">
        <v>108</v>
      </c>
      <c r="B12" s="214" t="s">
        <v>109</v>
      </c>
      <c r="C12" s="63">
        <f>16900.69</f>
        <v>16900.689999999999</v>
      </c>
      <c r="D12" s="64">
        <v>1</v>
      </c>
      <c r="E12" s="65">
        <f t="shared" ref="E12:E17" si="0">(C12*D12)</f>
        <v>16900.689999999999</v>
      </c>
    </row>
    <row r="13" spans="1:5">
      <c r="A13" s="78" t="s">
        <v>110</v>
      </c>
      <c r="B13" s="215" t="s">
        <v>109</v>
      </c>
      <c r="C13" s="63">
        <f>4728.88</f>
        <v>4728.88</v>
      </c>
      <c r="D13" s="64">
        <v>1</v>
      </c>
      <c r="E13" s="65">
        <f t="shared" si="0"/>
        <v>4728.88</v>
      </c>
    </row>
    <row r="14" spans="1:5">
      <c r="A14" s="78" t="s">
        <v>111</v>
      </c>
      <c r="B14" s="215" t="s">
        <v>109</v>
      </c>
      <c r="C14" s="63">
        <f>1998.26</f>
        <v>1998.26</v>
      </c>
      <c r="D14" s="64">
        <v>1</v>
      </c>
      <c r="E14" s="65">
        <f t="shared" si="0"/>
        <v>1998.26</v>
      </c>
    </row>
    <row r="15" spans="1:5">
      <c r="A15" s="78" t="s">
        <v>112</v>
      </c>
      <c r="B15" s="215" t="s">
        <v>109</v>
      </c>
      <c r="C15" s="63">
        <f>4728.88</f>
        <v>4728.88</v>
      </c>
      <c r="D15" s="64">
        <v>1</v>
      </c>
      <c r="E15" s="65">
        <f t="shared" si="0"/>
        <v>4728.88</v>
      </c>
    </row>
    <row r="16" spans="1:5">
      <c r="A16" s="78" t="s">
        <v>203</v>
      </c>
      <c r="B16" s="215" t="s">
        <v>109</v>
      </c>
      <c r="C16" s="63">
        <f>1998.26</f>
        <v>1998.26</v>
      </c>
      <c r="D16" s="64">
        <v>2</v>
      </c>
      <c r="E16" s="65">
        <f t="shared" si="0"/>
        <v>3996.52</v>
      </c>
    </row>
    <row r="17" spans="1:5">
      <c r="A17" s="78" t="s">
        <v>204</v>
      </c>
      <c r="B17" s="215" t="s">
        <v>109</v>
      </c>
      <c r="C17" s="63">
        <v>3207.55</v>
      </c>
      <c r="D17" s="64">
        <v>1</v>
      </c>
      <c r="E17" s="65">
        <f t="shared" si="0"/>
        <v>3207.55</v>
      </c>
    </row>
    <row r="18" spans="1:5">
      <c r="A18" s="216"/>
      <c r="B18" s="217"/>
      <c r="C18" s="66" t="s">
        <v>9</v>
      </c>
      <c r="D18" s="218" t="s">
        <v>225</v>
      </c>
      <c r="E18" s="208">
        <f>SUM(E12:E17)</f>
        <v>35560.78</v>
      </c>
    </row>
    <row r="19" spans="1:5">
      <c r="A19" s="381" t="s">
        <v>113</v>
      </c>
      <c r="B19" s="382"/>
      <c r="C19" s="382"/>
      <c r="D19" s="382"/>
      <c r="E19" s="383"/>
    </row>
    <row r="20" spans="1:5">
      <c r="A20" s="78" t="s">
        <v>114</v>
      </c>
      <c r="B20" s="215" t="s">
        <v>109</v>
      </c>
      <c r="C20" s="219">
        <v>2061.2199999999998</v>
      </c>
      <c r="D20" s="67">
        <v>3</v>
      </c>
      <c r="E20" s="65">
        <f>(C20*D20)</f>
        <v>6183.66</v>
      </c>
    </row>
    <row r="21" spans="1:5">
      <c r="A21" s="78" t="s">
        <v>284</v>
      </c>
      <c r="B21" s="215" t="s">
        <v>109</v>
      </c>
      <c r="C21" s="219">
        <v>6422.26</v>
      </c>
      <c r="D21" s="67">
        <v>3</v>
      </c>
      <c r="E21" s="65">
        <f>(C21*D21)</f>
        <v>19266.78</v>
      </c>
    </row>
    <row r="22" spans="1:5">
      <c r="A22" s="78" t="s">
        <v>283</v>
      </c>
      <c r="B22" s="215" t="s">
        <v>109</v>
      </c>
      <c r="C22" s="219">
        <v>4271.57</v>
      </c>
      <c r="D22" s="67">
        <v>1</v>
      </c>
      <c r="E22" s="65">
        <f>(C22*D22)</f>
        <v>4271.57</v>
      </c>
    </row>
    <row r="23" spans="1:5">
      <c r="A23" s="220"/>
      <c r="B23" s="221"/>
      <c r="C23" s="222"/>
      <c r="D23" s="68" t="s">
        <v>225</v>
      </c>
      <c r="E23" s="62">
        <f>SUM(E20:E22)</f>
        <v>29722.01</v>
      </c>
    </row>
    <row r="24" spans="1:5">
      <c r="A24" s="381" t="s">
        <v>115</v>
      </c>
      <c r="B24" s="382"/>
      <c r="C24" s="382"/>
      <c r="D24" s="382"/>
      <c r="E24" s="383"/>
    </row>
    <row r="25" spans="1:5">
      <c r="A25" s="223" t="s">
        <v>116</v>
      </c>
      <c r="B25" s="215" t="s">
        <v>109</v>
      </c>
      <c r="C25" s="219">
        <v>3208.26</v>
      </c>
      <c r="D25" s="67">
        <v>2</v>
      </c>
      <c r="E25" s="65">
        <f>(C25*D25)</f>
        <v>6416.52</v>
      </c>
    </row>
    <row r="26" spans="1:5">
      <c r="A26" s="69"/>
      <c r="B26" s="69"/>
      <c r="C26" s="66"/>
      <c r="D26" s="70" t="s">
        <v>21</v>
      </c>
      <c r="E26" s="62">
        <f>E25</f>
        <v>6416.52</v>
      </c>
    </row>
    <row r="27" spans="1:5">
      <c r="A27" s="71"/>
      <c r="B27" s="71"/>
      <c r="C27" s="72"/>
      <c r="D27" s="68" t="s">
        <v>131</v>
      </c>
      <c r="E27" s="62">
        <f>(E18+E23+E26)</f>
        <v>71699.31</v>
      </c>
    </row>
    <row r="28" spans="1:5">
      <c r="A28" s="71"/>
      <c r="B28" s="71"/>
      <c r="C28" s="72"/>
      <c r="D28" s="68" t="s">
        <v>315</v>
      </c>
      <c r="E28" s="62">
        <f xml:space="preserve"> ((E27*26.37)/100)</f>
        <v>18907.108047000002</v>
      </c>
    </row>
    <row r="29" spans="1:5">
      <c r="A29" s="73"/>
      <c r="B29" s="73"/>
      <c r="C29" s="74"/>
      <c r="D29" s="75" t="s">
        <v>117</v>
      </c>
      <c r="E29" s="60">
        <f>(E27+E28)</f>
        <v>90606.418046999999</v>
      </c>
    </row>
    <row r="30" spans="1:5">
      <c r="A30" s="1"/>
      <c r="B30" s="1"/>
      <c r="C30" s="76"/>
      <c r="D30" s="1"/>
      <c r="E30" s="77"/>
    </row>
    <row r="31" spans="1:5">
      <c r="A31" s="384"/>
      <c r="B31" s="384"/>
      <c r="C31" s="384"/>
      <c r="D31" s="384"/>
      <c r="E31" s="384"/>
    </row>
    <row r="32" spans="1:5" ht="57.75" customHeight="1"/>
    <row r="33" spans="1:12" ht="16">
      <c r="A33" s="364" t="s">
        <v>287</v>
      </c>
      <c r="B33" s="364"/>
      <c r="C33" s="364"/>
      <c r="D33" s="364"/>
      <c r="E33" s="364"/>
      <c r="F33" s="25"/>
      <c r="G33" s="25"/>
      <c r="H33" s="25"/>
      <c r="I33" s="25"/>
      <c r="J33" s="25"/>
      <c r="K33" s="25"/>
      <c r="L33" s="25"/>
    </row>
    <row r="34" spans="1:12" ht="16">
      <c r="A34" s="226" t="s">
        <v>83</v>
      </c>
      <c r="B34" s="226"/>
      <c r="C34" s="226"/>
      <c r="D34" s="226"/>
      <c r="E34" s="226"/>
      <c r="F34" s="24"/>
      <c r="G34" s="24"/>
      <c r="H34" s="24"/>
      <c r="I34" s="24"/>
      <c r="J34" s="24"/>
      <c r="K34" s="24"/>
      <c r="L34" s="24"/>
    </row>
    <row r="35" spans="1:12" ht="16">
      <c r="A35" s="226" t="s">
        <v>84</v>
      </c>
      <c r="B35" s="226"/>
      <c r="C35" s="226"/>
      <c r="D35" s="226"/>
      <c r="E35" s="226"/>
      <c r="F35" s="24"/>
      <c r="G35" s="24"/>
      <c r="H35" s="24"/>
      <c r="I35" s="24"/>
      <c r="J35" s="24"/>
      <c r="K35" s="24"/>
      <c r="L35" s="24"/>
    </row>
  </sheetData>
  <mergeCells count="14">
    <mergeCell ref="A11:E11"/>
    <mergeCell ref="A6:E6"/>
    <mergeCell ref="A9:A10"/>
    <mergeCell ref="B9:B10"/>
    <mergeCell ref="C9:C10"/>
    <mergeCell ref="D9:E9"/>
    <mergeCell ref="A7:E7"/>
    <mergeCell ref="A8:E8"/>
    <mergeCell ref="A33:E33"/>
    <mergeCell ref="A34:E34"/>
    <mergeCell ref="A35:E35"/>
    <mergeCell ref="A19:E19"/>
    <mergeCell ref="A24:E24"/>
    <mergeCell ref="A31:E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0"/>
  <sheetViews>
    <sheetView showGridLines="0" topLeftCell="A5" zoomScale="90" zoomScaleNormal="90" workbookViewId="0">
      <selection activeCell="A25" sqref="A25:E25"/>
    </sheetView>
  </sheetViews>
  <sheetFormatPr baseColWidth="10" defaultColWidth="8.83203125" defaultRowHeight="15"/>
  <cols>
    <col min="1" max="1" width="55.5" customWidth="1"/>
    <col min="2" max="2" width="9.33203125" bestFit="1" customWidth="1"/>
    <col min="3" max="3" width="16.5" bestFit="1" customWidth="1"/>
    <col min="4" max="4" width="14.83203125" customWidth="1"/>
    <col min="5" max="5" width="15.1640625" customWidth="1"/>
  </cols>
  <sheetData>
    <row r="1" spans="1:5">
      <c r="A1" s="179"/>
      <c r="B1" s="180"/>
      <c r="C1" s="180"/>
      <c r="D1" s="180"/>
      <c r="E1" s="181"/>
    </row>
    <row r="2" spans="1:5">
      <c r="A2" s="182"/>
      <c r="E2" s="183"/>
    </row>
    <row r="3" spans="1:5">
      <c r="A3" s="182"/>
      <c r="E3" s="183"/>
    </row>
    <row r="4" spans="1:5">
      <c r="A4" s="184"/>
      <c r="B4" s="185"/>
      <c r="C4" s="185"/>
      <c r="D4" s="185"/>
      <c r="E4" s="186"/>
    </row>
    <row r="5" spans="1:5" ht="16">
      <c r="A5" s="400" t="s">
        <v>232</v>
      </c>
      <c r="B5" s="400"/>
      <c r="C5" s="400"/>
      <c r="D5" s="400"/>
      <c r="E5" s="400"/>
    </row>
    <row r="6" spans="1:5" ht="23.5" customHeight="1">
      <c r="A6" s="395" t="s">
        <v>307</v>
      </c>
      <c r="B6" s="396"/>
      <c r="C6" s="396"/>
      <c r="D6" s="396"/>
      <c r="E6" s="397"/>
    </row>
    <row r="7" spans="1:5" ht="23.5" customHeight="1">
      <c r="A7" s="395" t="s">
        <v>292</v>
      </c>
      <c r="B7" s="387"/>
      <c r="C7" s="387"/>
      <c r="D7" s="387"/>
      <c r="E7" s="405"/>
    </row>
    <row r="8" spans="1:5">
      <c r="A8" s="401" t="s">
        <v>103</v>
      </c>
      <c r="B8" s="401" t="s">
        <v>22</v>
      </c>
      <c r="C8" s="402" t="s">
        <v>104</v>
      </c>
      <c r="D8" s="403" t="s">
        <v>118</v>
      </c>
      <c r="E8" s="403"/>
    </row>
    <row r="9" spans="1:5">
      <c r="A9" s="401"/>
      <c r="B9" s="401"/>
      <c r="C9" s="402"/>
      <c r="D9" s="95" t="s">
        <v>105</v>
      </c>
      <c r="E9" s="94" t="s">
        <v>106</v>
      </c>
    </row>
    <row r="10" spans="1:5">
      <c r="A10" s="393" t="s">
        <v>119</v>
      </c>
      <c r="B10" s="404"/>
      <c r="C10" s="404"/>
      <c r="D10" s="404"/>
      <c r="E10" s="394"/>
    </row>
    <row r="11" spans="1:5">
      <c r="A11" s="96" t="s">
        <v>120</v>
      </c>
      <c r="B11" s="97" t="s">
        <v>109</v>
      </c>
      <c r="C11" s="63">
        <v>3981.05</v>
      </c>
      <c r="D11" s="98">
        <v>6</v>
      </c>
      <c r="E11" s="63">
        <f xml:space="preserve"> (C11*D11)</f>
        <v>23886.300000000003</v>
      </c>
    </row>
    <row r="12" spans="1:5">
      <c r="A12" s="96" t="s">
        <v>121</v>
      </c>
      <c r="B12" s="97" t="s">
        <v>109</v>
      </c>
      <c r="C12" s="63">
        <v>6115.8</v>
      </c>
      <c r="D12" s="98">
        <v>6</v>
      </c>
      <c r="E12" s="63">
        <f t="shared" ref="E12:E20" si="0" xml:space="preserve"> (C12*D12)</f>
        <v>36694.800000000003</v>
      </c>
    </row>
    <row r="13" spans="1:5">
      <c r="A13" s="96" t="s">
        <v>122</v>
      </c>
      <c r="B13" s="97" t="s">
        <v>109</v>
      </c>
      <c r="C13" s="63">
        <v>622.80999999999995</v>
      </c>
      <c r="D13" s="98">
        <v>6</v>
      </c>
      <c r="E13" s="63">
        <f t="shared" si="0"/>
        <v>3736.8599999999997</v>
      </c>
    </row>
    <row r="14" spans="1:5">
      <c r="A14" s="96" t="s">
        <v>123</v>
      </c>
      <c r="B14" s="97" t="s">
        <v>124</v>
      </c>
      <c r="C14" s="63">
        <v>190.98</v>
      </c>
      <c r="D14" s="98">
        <v>12</v>
      </c>
      <c r="E14" s="63">
        <f t="shared" si="0"/>
        <v>2291.7599999999998</v>
      </c>
    </row>
    <row r="15" spans="1:5">
      <c r="A15" s="96" t="s">
        <v>185</v>
      </c>
      <c r="B15" s="97" t="s">
        <v>109</v>
      </c>
      <c r="C15" s="63">
        <v>745.68</v>
      </c>
      <c r="D15" s="98">
        <v>6</v>
      </c>
      <c r="E15" s="63">
        <f t="shared" si="0"/>
        <v>4474.08</v>
      </c>
    </row>
    <row r="16" spans="1:5">
      <c r="A16" s="96" t="s">
        <v>125</v>
      </c>
      <c r="B16" s="97" t="s">
        <v>109</v>
      </c>
      <c r="C16" s="63">
        <v>1057.55</v>
      </c>
      <c r="D16" s="98">
        <v>6</v>
      </c>
      <c r="E16" s="63">
        <f t="shared" si="0"/>
        <v>6345.2999999999993</v>
      </c>
    </row>
    <row r="17" spans="1:5">
      <c r="A17" s="96" t="s">
        <v>126</v>
      </c>
      <c r="B17" s="97" t="s">
        <v>127</v>
      </c>
      <c r="C17" s="63">
        <v>222.45</v>
      </c>
      <c r="D17" s="98">
        <v>6</v>
      </c>
      <c r="E17" s="63">
        <f xml:space="preserve"> (C17*D17)</f>
        <v>1334.6999999999998</v>
      </c>
    </row>
    <row r="18" spans="1:5">
      <c r="A18" s="96" t="s">
        <v>128</v>
      </c>
      <c r="B18" s="97" t="s">
        <v>22</v>
      </c>
      <c r="C18" s="63">
        <v>3023.87</v>
      </c>
      <c r="D18" s="98">
        <v>1</v>
      </c>
      <c r="E18" s="63">
        <f t="shared" si="0"/>
        <v>3023.87</v>
      </c>
    </row>
    <row r="19" spans="1:5">
      <c r="A19" s="96" t="s">
        <v>129</v>
      </c>
      <c r="B19" s="97" t="s">
        <v>22</v>
      </c>
      <c r="C19" s="63">
        <v>4675.18</v>
      </c>
      <c r="D19" s="98">
        <v>1</v>
      </c>
      <c r="E19" s="63">
        <f t="shared" si="0"/>
        <v>4675.18</v>
      </c>
    </row>
    <row r="20" spans="1:5">
      <c r="A20" s="96" t="s">
        <v>130</v>
      </c>
      <c r="B20" s="97" t="s">
        <v>124</v>
      </c>
      <c r="C20" s="63">
        <v>404.64</v>
      </c>
      <c r="D20" s="98">
        <v>12</v>
      </c>
      <c r="E20" s="63">
        <f t="shared" si="0"/>
        <v>4855.68</v>
      </c>
    </row>
    <row r="21" spans="1:5">
      <c r="A21" s="87" t="s">
        <v>9</v>
      </c>
      <c r="B21" s="99"/>
      <c r="C21" s="88"/>
      <c r="D21" s="100" t="s">
        <v>131</v>
      </c>
      <c r="E21" s="94">
        <f>SUM(E11:E20)</f>
        <v>91318.53</v>
      </c>
    </row>
    <row r="22" spans="1:5">
      <c r="A22" s="87"/>
      <c r="B22" s="87"/>
      <c r="C22" s="90"/>
      <c r="D22" s="101" t="s">
        <v>315</v>
      </c>
      <c r="E22" s="94">
        <f xml:space="preserve"> ((E21*26.37)/100)</f>
        <v>24080.696361000002</v>
      </c>
    </row>
    <row r="23" spans="1:5">
      <c r="A23" s="87"/>
      <c r="B23" s="87"/>
      <c r="C23" s="90"/>
      <c r="D23" s="100" t="s">
        <v>117</v>
      </c>
      <c r="E23" s="94">
        <f>(E21+E22)</f>
        <v>115399.22636100001</v>
      </c>
    </row>
    <row r="24" spans="1:5">
      <c r="A24" s="102"/>
      <c r="B24" s="102"/>
      <c r="C24" s="74"/>
      <c r="D24" s="102"/>
      <c r="E24" s="74"/>
    </row>
    <row r="25" spans="1:5">
      <c r="A25" s="398"/>
      <c r="B25" s="398"/>
      <c r="C25" s="398"/>
      <c r="D25" s="398"/>
      <c r="E25" s="398"/>
    </row>
    <row r="26" spans="1:5" ht="115.5" customHeight="1">
      <c r="A26" s="1"/>
      <c r="B26" s="1"/>
      <c r="C26" s="76"/>
      <c r="D26" s="1"/>
      <c r="E26" s="76"/>
    </row>
    <row r="27" spans="1:5">
      <c r="A27" s="399" t="s">
        <v>287</v>
      </c>
      <c r="B27" s="399"/>
      <c r="C27" s="399"/>
      <c r="D27" s="399"/>
      <c r="E27" s="399"/>
    </row>
    <row r="28" spans="1:5">
      <c r="A28" s="226" t="s">
        <v>83</v>
      </c>
      <c r="B28" s="226"/>
      <c r="C28" s="226"/>
      <c r="D28" s="226"/>
      <c r="E28" s="226"/>
    </row>
    <row r="29" spans="1:5">
      <c r="A29" s="226" t="s">
        <v>84</v>
      </c>
      <c r="B29" s="226"/>
      <c r="C29" s="226"/>
      <c r="D29" s="226"/>
      <c r="E29" s="226"/>
    </row>
    <row r="30" spans="1:5">
      <c r="A30" s="1"/>
      <c r="B30" s="1"/>
      <c r="C30" s="76"/>
      <c r="D30" s="1"/>
      <c r="E30" s="76"/>
    </row>
  </sheetData>
  <mergeCells count="12">
    <mergeCell ref="A25:E25"/>
    <mergeCell ref="A27:E27"/>
    <mergeCell ref="A28:E28"/>
    <mergeCell ref="A29:E29"/>
    <mergeCell ref="A5:E5"/>
    <mergeCell ref="A8:A9"/>
    <mergeCell ref="B8:B9"/>
    <mergeCell ref="C8:C9"/>
    <mergeCell ref="D8:E8"/>
    <mergeCell ref="A10:E10"/>
    <mergeCell ref="A6:E6"/>
    <mergeCell ref="A7:E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400D-AC93-40E7-8C5B-113AE9D80630}">
  <sheetPr>
    <pageSetUpPr fitToPage="1"/>
  </sheetPr>
  <dimension ref="A1:Y25"/>
  <sheetViews>
    <sheetView showGridLines="0" topLeftCell="A8" zoomScale="90" zoomScaleNormal="90" workbookViewId="0">
      <selection activeCell="C29" sqref="C29"/>
    </sheetView>
  </sheetViews>
  <sheetFormatPr baseColWidth="10" defaultColWidth="8.83203125" defaultRowHeight="15"/>
  <cols>
    <col min="1" max="1" width="7.1640625" style="103" customWidth="1"/>
    <col min="2" max="2" width="24.33203125" style="131" customWidth="1"/>
    <col min="3" max="8" width="15.5" style="131" customWidth="1"/>
    <col min="9" max="9" width="15.5" style="136" customWidth="1"/>
    <col min="10" max="10" width="15.5" style="142" customWidth="1"/>
  </cols>
  <sheetData>
    <row r="1" spans="1:14" ht="16">
      <c r="A1" s="414"/>
      <c r="B1" s="415"/>
      <c r="C1" s="415"/>
      <c r="D1" s="415"/>
      <c r="E1" s="415"/>
      <c r="F1" s="415"/>
      <c r="G1" s="415"/>
      <c r="H1" s="415"/>
      <c r="I1" s="415"/>
      <c r="J1" s="416"/>
    </row>
    <row r="2" spans="1:14" ht="16">
      <c r="A2" s="340"/>
      <c r="B2" s="341"/>
      <c r="C2" s="341"/>
      <c r="D2" s="341"/>
      <c r="E2" s="341"/>
      <c r="F2" s="341"/>
      <c r="G2" s="341"/>
      <c r="H2" s="341"/>
      <c r="I2" s="341"/>
      <c r="J2" s="342"/>
    </row>
    <row r="3" spans="1:14" ht="16">
      <c r="A3" s="340" t="s">
        <v>267</v>
      </c>
      <c r="B3" s="341"/>
      <c r="C3" s="341"/>
      <c r="D3" s="341"/>
      <c r="E3" s="341"/>
      <c r="F3" s="341"/>
      <c r="G3" s="341"/>
      <c r="H3" s="341"/>
      <c r="I3" s="341"/>
      <c r="J3" s="342"/>
    </row>
    <row r="4" spans="1:14" ht="16">
      <c r="A4" s="340" t="s">
        <v>268</v>
      </c>
      <c r="B4" s="341"/>
      <c r="C4" s="341"/>
      <c r="D4" s="341"/>
      <c r="E4" s="341"/>
      <c r="F4" s="341"/>
      <c r="G4" s="341"/>
      <c r="H4" s="341"/>
      <c r="I4" s="341"/>
      <c r="J4" s="342"/>
    </row>
    <row r="5" spans="1:14">
      <c r="A5" s="417"/>
      <c r="B5" s="418"/>
      <c r="C5" s="418"/>
      <c r="D5" s="418"/>
      <c r="E5" s="418"/>
      <c r="F5" s="418"/>
      <c r="G5" s="418"/>
      <c r="H5" s="418"/>
      <c r="I5" s="418"/>
      <c r="J5" s="419"/>
    </row>
    <row r="6" spans="1:14" ht="23" customHeight="1">
      <c r="A6" s="171" t="s">
        <v>29</v>
      </c>
      <c r="B6" s="149" t="s">
        <v>269</v>
      </c>
      <c r="C6" s="149" t="s">
        <v>270</v>
      </c>
      <c r="D6" s="149" t="s">
        <v>271</v>
      </c>
      <c r="E6" s="149" t="s">
        <v>272</v>
      </c>
      <c r="F6" s="149" t="s">
        <v>273</v>
      </c>
      <c r="G6" s="149" t="s">
        <v>274</v>
      </c>
      <c r="H6" s="149" t="s">
        <v>275</v>
      </c>
      <c r="I6" s="45" t="s">
        <v>280</v>
      </c>
      <c r="J6" s="172" t="s">
        <v>276</v>
      </c>
      <c r="K6" s="131"/>
      <c r="L6" s="131"/>
      <c r="M6" s="131"/>
      <c r="N6" s="131"/>
    </row>
    <row r="7" spans="1:14" ht="16.5" customHeight="1">
      <c r="A7" s="171">
        <v>1</v>
      </c>
      <c r="B7" s="148" t="str">
        <f>ORÇAMENTO!D52</f>
        <v>SERVÇOS PRELIMINARES</v>
      </c>
      <c r="C7" s="173">
        <f>35%</f>
        <v>0.35</v>
      </c>
      <c r="D7" s="173">
        <f>30%/4</f>
        <v>7.4999999999999997E-2</v>
      </c>
      <c r="E7" s="173">
        <f t="shared" ref="E7:G7" si="0">30%/4</f>
        <v>7.4999999999999997E-2</v>
      </c>
      <c r="F7" s="173">
        <f t="shared" si="0"/>
        <v>7.4999999999999997E-2</v>
      </c>
      <c r="G7" s="173">
        <f t="shared" si="0"/>
        <v>7.4999999999999997E-2</v>
      </c>
      <c r="H7" s="173">
        <f>C7</f>
        <v>0.35</v>
      </c>
      <c r="I7" s="36">
        <f>ORÇAMENTO!I55</f>
        <v>214771.53956100001</v>
      </c>
      <c r="J7" s="174">
        <f>I7/$I$14</f>
        <v>1.2562525006905859E-2</v>
      </c>
      <c r="K7" s="131"/>
      <c r="L7" s="131"/>
      <c r="M7" s="131"/>
      <c r="N7" s="131"/>
    </row>
    <row r="8" spans="1:14" ht="16.5" customHeight="1">
      <c r="A8" s="171">
        <v>2</v>
      </c>
      <c r="B8" s="148" t="str">
        <f>ORÇAMENTO!D56</f>
        <v>ADMINISTRAÇÃO</v>
      </c>
      <c r="C8" s="173">
        <f>FINANCEIRO!B12</f>
        <v>7.9866220233988025E-2</v>
      </c>
      <c r="D8" s="173">
        <f>FINANCEIRO!C12</f>
        <v>7.8440695725525852E-2</v>
      </c>
      <c r="E8" s="173">
        <f>FINANCEIRO!D12</f>
        <v>0.21859707734719649</v>
      </c>
      <c r="F8" s="173">
        <f>FINANCEIRO!E12</f>
        <v>0.21859707734719649</v>
      </c>
      <c r="G8" s="173">
        <f>FINANCEIRO!F12</f>
        <v>0.23812785044908691</v>
      </c>
      <c r="H8" s="173">
        <f>FINANCEIRO!G12</f>
        <v>0.16637107889700622</v>
      </c>
      <c r="I8" s="36">
        <f>ORÇAMENTO!I58</f>
        <v>543638.50828199997</v>
      </c>
      <c r="J8" s="174">
        <f>I8/$I$14</f>
        <v>3.1798777291298867E-2</v>
      </c>
      <c r="K8" s="131"/>
      <c r="L8" s="131"/>
      <c r="M8" s="131"/>
      <c r="N8" s="131"/>
    </row>
    <row r="9" spans="1:14" ht="16.5" customHeight="1">
      <c r="A9" s="171">
        <v>3</v>
      </c>
      <c r="B9" s="148" t="str">
        <f>ORÇAMENTO!D8</f>
        <v>TERRAPLENAGEM</v>
      </c>
      <c r="C9" s="173">
        <f>100%/5</f>
        <v>0.2</v>
      </c>
      <c r="D9" s="173">
        <f t="shared" ref="D9:G9" si="1">100%/5</f>
        <v>0.2</v>
      </c>
      <c r="E9" s="173">
        <f t="shared" si="1"/>
        <v>0.2</v>
      </c>
      <c r="F9" s="173">
        <f t="shared" si="1"/>
        <v>0.2</v>
      </c>
      <c r="G9" s="173">
        <f t="shared" si="1"/>
        <v>0.2</v>
      </c>
      <c r="H9" s="173"/>
      <c r="I9" s="36">
        <f>ORÇAMENTO!I18</f>
        <v>6234105.5775000006</v>
      </c>
      <c r="J9" s="174">
        <f t="shared" ref="J9:J13" si="2">I9/$I$14</f>
        <v>0.36464844165626281</v>
      </c>
      <c r="K9" s="131"/>
      <c r="L9" s="131"/>
      <c r="M9" s="131"/>
      <c r="N9" s="131"/>
    </row>
    <row r="10" spans="1:14" ht="16.5" customHeight="1">
      <c r="A10" s="171">
        <v>4</v>
      </c>
      <c r="B10" s="148" t="str">
        <f>ORÇAMENTO!D32</f>
        <v>DRENAGEM</v>
      </c>
      <c r="C10" s="173"/>
      <c r="D10" s="173">
        <f>100%/5</f>
        <v>0.2</v>
      </c>
      <c r="E10" s="173">
        <f t="shared" ref="E10:H10" si="3">100%/5</f>
        <v>0.2</v>
      </c>
      <c r="F10" s="173">
        <f t="shared" si="3"/>
        <v>0.2</v>
      </c>
      <c r="G10" s="173">
        <f t="shared" si="3"/>
        <v>0.2</v>
      </c>
      <c r="H10" s="173">
        <f t="shared" si="3"/>
        <v>0.2</v>
      </c>
      <c r="I10" s="36">
        <f>ORÇAMENTO!I41</f>
        <v>177330.40000000002</v>
      </c>
      <c r="J10" s="174">
        <f t="shared" si="2"/>
        <v>1.0372499024024068E-2</v>
      </c>
      <c r="K10" s="131"/>
      <c r="L10" s="131"/>
      <c r="M10" s="131"/>
      <c r="N10" s="131"/>
    </row>
    <row r="11" spans="1:14" ht="16.5" customHeight="1">
      <c r="A11" s="171">
        <v>5</v>
      </c>
      <c r="B11" s="148" t="str">
        <f>ORÇAMENTO!D47</f>
        <v>INSUMOS</v>
      </c>
      <c r="C11" s="173"/>
      <c r="D11" s="173"/>
      <c r="E11" s="173">
        <f t="shared" ref="E11:H12" si="4">100%/4</f>
        <v>0.25</v>
      </c>
      <c r="F11" s="173">
        <f t="shared" si="4"/>
        <v>0.25</v>
      </c>
      <c r="G11" s="173">
        <f t="shared" si="4"/>
        <v>0.25</v>
      </c>
      <c r="H11" s="173">
        <f t="shared" si="4"/>
        <v>0.25</v>
      </c>
      <c r="I11" s="36">
        <f>ORÇAMENTO!I51</f>
        <v>2900061.6608556919</v>
      </c>
      <c r="J11" s="174">
        <f t="shared" si="2"/>
        <v>0.16963186654310417</v>
      </c>
      <c r="K11" s="131"/>
      <c r="L11" s="131"/>
      <c r="M11" s="131"/>
      <c r="N11" s="131"/>
    </row>
    <row r="12" spans="1:14" ht="16.5" customHeight="1">
      <c r="A12" s="171">
        <v>6</v>
      </c>
      <c r="B12" s="148" t="str">
        <f>ORÇAMENTO!D19</f>
        <v>PAVIMENTAÇÃO</v>
      </c>
      <c r="C12" s="173"/>
      <c r="D12" s="173"/>
      <c r="E12" s="173">
        <f t="shared" si="4"/>
        <v>0.25</v>
      </c>
      <c r="F12" s="173">
        <f t="shared" si="4"/>
        <v>0.25</v>
      </c>
      <c r="G12" s="173">
        <f t="shared" si="4"/>
        <v>0.25</v>
      </c>
      <c r="H12" s="173">
        <f t="shared" si="4"/>
        <v>0.25</v>
      </c>
      <c r="I12" s="36">
        <f>ORÇAMENTO!I31</f>
        <v>6379731.2822033297</v>
      </c>
      <c r="J12" s="174">
        <f t="shared" si="2"/>
        <v>0.37316645368301121</v>
      </c>
      <c r="K12" s="131"/>
      <c r="L12" s="131"/>
      <c r="M12" s="131"/>
      <c r="N12" s="131"/>
    </row>
    <row r="13" spans="1:14" ht="16.5" customHeight="1">
      <c r="A13" s="171">
        <v>7</v>
      </c>
      <c r="B13" s="148" t="str">
        <f>ORÇAMENTO!D42</f>
        <v>OBRAS COMPLEMENTARES</v>
      </c>
      <c r="C13" s="173"/>
      <c r="D13" s="173"/>
      <c r="E13" s="173"/>
      <c r="F13" s="173"/>
      <c r="G13" s="173">
        <f>100%/2</f>
        <v>0.5</v>
      </c>
      <c r="H13" s="173">
        <f>100%/2</f>
        <v>0.5</v>
      </c>
      <c r="I13" s="36">
        <f>ORÇAMENTO!I46</f>
        <v>646568.95499999996</v>
      </c>
      <c r="J13" s="174">
        <f t="shared" si="2"/>
        <v>3.7819436795393006E-2</v>
      </c>
      <c r="K13" s="131"/>
      <c r="L13" s="131"/>
      <c r="M13" s="131"/>
      <c r="N13" s="131"/>
    </row>
    <row r="14" spans="1:14" ht="16.5" customHeight="1">
      <c r="A14" s="410" t="s">
        <v>277</v>
      </c>
      <c r="B14" s="411"/>
      <c r="C14" s="175">
        <f>C7*$I$7+C8*$I$8+C9*$I$9+C10*$I$10+C11*$I$11+C12*$I$12+C13*$I$13</f>
        <v>1365409.507176477</v>
      </c>
      <c r="D14" s="175">
        <f>D7*$I$7+D8*$I$8+D9*$I$9+D10*$I$10+D11*$I$11+D12*$I$12+D13*$I$13</f>
        <v>1341038.4437799023</v>
      </c>
      <c r="E14" s="175">
        <f>E7*$I$7+E8*$I$8+E9*$I$9+E10*$I$10+E11*$I$11+E12*$I$12+E13*$I$13</f>
        <v>3737181.0857756655</v>
      </c>
      <c r="F14" s="175">
        <f>F7*$I$7+F8*$I$8+F9*$I$9+F10*$I$10+F11*$I$11+F12*$I$12+F13</f>
        <v>3737181.0857756655</v>
      </c>
      <c r="G14" s="175">
        <f>G7*$I$7+G8*$I$8+G9*$I$9+G10*$I$10+G11*$I$11+G12*$I$12+G13*$I$13</f>
        <v>4071083.2436303715</v>
      </c>
      <c r="H14" s="175">
        <f>H7*$I$7+H8*$I$8+H9*$I$9+H10*$I$10+H11*$I$11+H12*$I$12+H13*$I$13</f>
        <v>2844314.5572639406</v>
      </c>
      <c r="I14" s="412">
        <f>SUM(I7:I13)</f>
        <v>17096207.923402023</v>
      </c>
      <c r="J14" s="413">
        <f>SUM(J7:J13)</f>
        <v>1</v>
      </c>
      <c r="K14" s="131"/>
      <c r="L14" s="131"/>
      <c r="M14" s="131"/>
      <c r="N14" s="131"/>
    </row>
    <row r="15" spans="1:14" ht="16.5" customHeight="1">
      <c r="A15" s="410" t="s">
        <v>278</v>
      </c>
      <c r="B15" s="411"/>
      <c r="C15" s="176">
        <f>C14/$I$14</f>
        <v>7.9866220233988025E-2</v>
      </c>
      <c r="D15" s="177">
        <f>(D14/$I$14)+C15</f>
        <v>0.15830691595951388</v>
      </c>
      <c r="E15" s="177">
        <f>(E14/$I$14)+D15</f>
        <v>0.37690399330671037</v>
      </c>
      <c r="F15" s="177">
        <f>(F14/$I$14)+E15</f>
        <v>0.59550107065390689</v>
      </c>
      <c r="G15" s="177">
        <f>(G14/$I$14)+F15</f>
        <v>0.8336289211029938</v>
      </c>
      <c r="H15" s="204">
        <f>(H14/$I$14)+G15</f>
        <v>1</v>
      </c>
      <c r="I15" s="412"/>
      <c r="J15" s="413"/>
      <c r="K15" s="131"/>
      <c r="L15" s="131"/>
      <c r="M15" s="131"/>
      <c r="N15" s="131"/>
    </row>
    <row r="16" spans="1:14">
      <c r="A16" s="132"/>
      <c r="B16" s="133"/>
      <c r="C16" s="133"/>
      <c r="D16" s="133"/>
      <c r="E16" s="133"/>
      <c r="F16" s="133"/>
      <c r="G16" s="133"/>
      <c r="H16" s="133"/>
      <c r="I16" s="134"/>
      <c r="J16" s="135"/>
      <c r="K16" s="131"/>
      <c r="L16" s="131"/>
      <c r="M16" s="131"/>
      <c r="N16" s="131"/>
    </row>
    <row r="17" spans="1:25">
      <c r="A17" s="407" t="s">
        <v>279</v>
      </c>
      <c r="B17" s="408"/>
      <c r="C17" s="408"/>
      <c r="D17" s="408"/>
      <c r="E17" s="408"/>
      <c r="F17" s="408"/>
      <c r="G17" s="408"/>
      <c r="H17" s="408"/>
      <c r="I17" s="408"/>
      <c r="J17" s="409"/>
      <c r="K17" s="131"/>
      <c r="L17" s="131"/>
      <c r="M17" s="131"/>
      <c r="N17" s="131"/>
    </row>
    <row r="18" spans="1:25">
      <c r="A18" s="328" t="s">
        <v>83</v>
      </c>
      <c r="B18" s="329"/>
      <c r="C18" s="329"/>
      <c r="D18" s="329"/>
      <c r="E18" s="329"/>
      <c r="F18" s="329"/>
      <c r="G18" s="329"/>
      <c r="H18" s="329"/>
      <c r="I18" s="329"/>
      <c r="J18" s="330"/>
      <c r="K18" s="131"/>
      <c r="L18" s="131"/>
      <c r="M18" s="131"/>
      <c r="N18" s="131"/>
    </row>
    <row r="19" spans="1:25">
      <c r="A19" s="328" t="s">
        <v>84</v>
      </c>
      <c r="B19" s="329"/>
      <c r="C19" s="329"/>
      <c r="D19" s="329"/>
      <c r="E19" s="329"/>
      <c r="F19" s="329"/>
      <c r="G19" s="329"/>
      <c r="H19" s="329"/>
      <c r="I19" s="329"/>
      <c r="J19" s="330"/>
      <c r="K19" s="131"/>
      <c r="L19" s="131"/>
      <c r="M19" s="131"/>
      <c r="N19" s="131"/>
    </row>
    <row r="20" spans="1:25" ht="16" thickBot="1">
      <c r="A20" s="137"/>
      <c r="B20" s="138"/>
      <c r="C20" s="138"/>
      <c r="D20" s="138"/>
      <c r="E20" s="117"/>
      <c r="F20" s="138"/>
      <c r="G20" s="138"/>
      <c r="H20" s="138"/>
      <c r="I20" s="139"/>
      <c r="J20" s="140"/>
      <c r="K20" s="131"/>
      <c r="L20" s="131"/>
      <c r="M20" s="131"/>
      <c r="N20" s="131"/>
    </row>
    <row r="21" spans="1:25">
      <c r="E21" s="26"/>
      <c r="J21" s="141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6"/>
    </row>
    <row r="22" spans="1:25">
      <c r="E22" s="110"/>
      <c r="J22" s="141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</row>
    <row r="23" spans="1:25">
      <c r="E23" s="111"/>
      <c r="J23" s="141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</row>
    <row r="24" spans="1:25">
      <c r="B24" s="136"/>
      <c r="C24" s="191"/>
      <c r="D24" s="136"/>
      <c r="E24" s="192"/>
      <c r="J24" s="141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6"/>
    </row>
    <row r="25" spans="1:25">
      <c r="E25" s="111"/>
      <c r="J25" s="141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</row>
  </sheetData>
  <mergeCells count="17">
    <mergeCell ref="A14:B14"/>
    <mergeCell ref="I14:I15"/>
    <mergeCell ref="J14:J15"/>
    <mergeCell ref="A15:B15"/>
    <mergeCell ref="A1:J1"/>
    <mergeCell ref="A2:J2"/>
    <mergeCell ref="A3:J3"/>
    <mergeCell ref="A4:J4"/>
    <mergeCell ref="A5:J5"/>
    <mergeCell ref="L24:Y24"/>
    <mergeCell ref="L25:Y25"/>
    <mergeCell ref="A18:J18"/>
    <mergeCell ref="A17:J17"/>
    <mergeCell ref="A19:J19"/>
    <mergeCell ref="L21:Y21"/>
    <mergeCell ref="L22:Y22"/>
    <mergeCell ref="L23:Y2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horizontalDpi="360" verticalDpi="360" r:id="rId1"/>
  <ignoredErrors>
    <ignoredError sqref="F14" formula="1"/>
    <ignoredError sqref="C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DADOS </vt:lpstr>
      <vt:lpstr>PRODUTOS BETUMINOSOS</vt:lpstr>
      <vt:lpstr>MEMÓRIA DE CÁLCULO</vt:lpstr>
      <vt:lpstr>ORÇAMENTO</vt:lpstr>
      <vt:lpstr>BDI</vt:lpstr>
      <vt:lpstr>MOBILIZAÇÃO EQUIPAMENTOS</vt:lpstr>
      <vt:lpstr>ADMINISTRAÇÃO LOCAL</vt:lpstr>
      <vt:lpstr>CANTEIRO DE OBRAS</vt:lpstr>
      <vt:lpstr>CRONOGRAMA</vt:lpstr>
      <vt:lpstr>FINANCEIRO</vt:lpstr>
      <vt:lpstr>BDI!Area_de_impressao</vt:lpstr>
      <vt:lpstr>CRONOGRAMA!Area_de_impressao</vt:lpstr>
      <vt:lpstr>'DADOS 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luis severo gomides</cp:lastModifiedBy>
  <cp:lastPrinted>2024-02-01T01:14:48Z</cp:lastPrinted>
  <dcterms:created xsi:type="dcterms:W3CDTF">2019-01-22T17:17:15Z</dcterms:created>
  <dcterms:modified xsi:type="dcterms:W3CDTF">2024-02-08T11:40:00Z</dcterms:modified>
</cp:coreProperties>
</file>